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H:\Quality\Compliance Engineering\Compliance reviews\CONFLICT MINERALS\Basler CMRT\"/>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13308" windowHeight="6024"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J12" i="5"/>
  <c r="S12" i="5"/>
  <c r="T12" i="5"/>
  <c r="R12" i="5"/>
  <c r="I12" i="5"/>
  <c r="H12" i="5"/>
  <c r="G12" i="5"/>
  <c r="AB11" i="5"/>
  <c r="V11" i="5"/>
  <c r="X11" i="5"/>
  <c r="J11" i="5"/>
  <c r="S11" i="5"/>
  <c r="T11" i="5"/>
  <c r="R11" i="5"/>
  <c r="I11" i="5"/>
  <c r="H11" i="5"/>
  <c r="G11" i="5"/>
  <c r="AB10" i="5"/>
  <c r="V10" i="5"/>
  <c r="X10" i="5"/>
  <c r="J10" i="5"/>
  <c r="S10" i="5"/>
  <c r="T10" i="5"/>
  <c r="R10" i="5"/>
  <c r="I10" i="5"/>
  <c r="H10" i="5"/>
  <c r="G10" i="5"/>
  <c r="AB9" i="5"/>
  <c r="V9" i="5"/>
  <c r="X9" i="5"/>
  <c r="J9" i="5"/>
  <c r="S9" i="5"/>
  <c r="T9" i="5"/>
  <c r="R9" i="5"/>
  <c r="I9" i="5"/>
  <c r="H9" i="5"/>
  <c r="G9" i="5"/>
  <c r="AB8" i="5"/>
  <c r="V8" i="5"/>
  <c r="X8" i="5"/>
  <c r="J8" i="5"/>
  <c r="S8" i="5"/>
  <c r="T8" i="5"/>
  <c r="R8" i="5"/>
  <c r="I8" i="5"/>
  <c r="H8" i="5"/>
  <c r="G8" i="5"/>
  <c r="AB7" i="5"/>
  <c r="V7" i="5"/>
  <c r="X7" i="5"/>
  <c r="J7" i="5"/>
  <c r="S7" i="5"/>
  <c r="T7" i="5"/>
  <c r="R7" i="5"/>
  <c r="I7" i="5"/>
  <c r="H7" i="5"/>
  <c r="G7" i="5"/>
  <c r="AB6" i="5"/>
  <c r="V6" i="5"/>
  <c r="X6" i="5"/>
  <c r="J6" i="5"/>
  <c r="S6" i="5"/>
  <c r="T6" i="5"/>
  <c r="R6" i="5"/>
  <c r="I6" i="5"/>
  <c r="H6" i="5"/>
  <c r="G6" i="5"/>
  <c r="AB5" i="5"/>
  <c r="V5" i="5"/>
  <c r="X5" i="5"/>
  <c r="J5" i="5"/>
  <c r="S5" i="5"/>
  <c r="T5" i="5"/>
  <c r="R5" i="5"/>
  <c r="I5" i="5"/>
  <c r="H5" i="5"/>
  <c r="G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V13" i="5"/>
  <c r="V14" i="5"/>
  <c r="V15" i="5"/>
  <c r="V16" i="5"/>
  <c r="V17" i="5"/>
  <c r="V18" i="5"/>
  <c r="V19" i="5"/>
  <c r="V20" i="5"/>
  <c r="V21" i="5"/>
  <c r="V22" i="5"/>
  <c r="V23" i="5"/>
  <c r="V24" i="5"/>
  <c r="V25" i="5"/>
  <c r="V26" i="5"/>
  <c r="V27" i="5"/>
  <c r="V28" i="5"/>
  <c r="V29" i="5"/>
  <c r="V30" i="5"/>
  <c r="V31" i="5"/>
  <c r="V32" i="5"/>
  <c r="V33" i="5"/>
  <c r="V34" i="5"/>
  <c r="V35" i="5"/>
  <c r="V36" i="5"/>
  <c r="V37" i="5"/>
  <c r="V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I14" i="5"/>
  <c r="H2420" i="5"/>
  <c r="H213" i="5"/>
  <c r="H1180" i="5"/>
  <c r="F1820" i="5"/>
  <c r="F2100" i="5"/>
  <c r="H2468" i="5"/>
  <c r="G21" i="5"/>
  <c r="G14"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<sst xmlns="http://schemas.openxmlformats.org/spreadsheetml/2006/main" count="28187" uniqueCount="20061">
  <si>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</si>
  <si>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</si>
  <si>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</si>
  <si>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</si>
  <si>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</si>
  <si>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</si>
  <si>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</si>
  <si>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</si>
  <si>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</si>
  <si>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</si>
  <si>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</si>
  <si>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</si>
  <si>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</si>
  <si>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</si>
  <si>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</si>
  <si>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</si>
  <si>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</si>
  <si>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</si>
  <si>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</si>
  <si>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</si>
  <si>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</si>
  <si>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</si>
  <si>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</si>
  <si>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</si>
  <si>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</si>
  <si>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</si>
  <si>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</si>
  <si>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</si>
  <si>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</si>
  <si>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</si>
  <si>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</si>
  <si>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</si>
  <si>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</si>
  <si>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</si>
  <si>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</si>
  <si>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</si>
  <si>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</si>
  <si>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</si>
  <si>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</si>
  <si>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</si>
  <si>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</si>
  <si>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</si>
  <si>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</si>
  <si>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</si>
  <si>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</si>
  <si>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</si>
  <si>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</si>
  <si>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</si>
  <si>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</si>
  <si>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</si>
  <si>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</si>
  <si>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</si>
  <si>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</si>
  <si>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</si>
  <si>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</si>
  <si>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</si>
  <si>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</si>
  <si>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</si>
  <si>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</si>
  <si>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</si>
  <si>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</si>
  <si>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</si>
  <si>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</si>
  <si>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</si>
  <si>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</si>
  <si>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</si>
  <si>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</si>
  <si>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</si>
  <si>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</si>
  <si>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</si>
  <si>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</si>
  <si>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</si>
  <si>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</si>
  <si>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</si>
  <si>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</si>
  <si>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</si>
  <si>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</si>
  <si>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</si>
  <si>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</si>
  <si>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</si>
  <si>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</si>
  <si>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</si>
  <si>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</si>
  <si>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</si>
  <si>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</si>
  <si>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</si>
  <si>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</si>
  <si>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</si>
  <si>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</si>
  <si>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</si>
  <si>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</si>
  <si>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</si>
  <si>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</si>
  <si>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</si>
  <si>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</si>
  <si>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</si>
  <si>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</si>
  <si>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</si>
  <si>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</si>
  <si>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</si>
  <si>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</si>
  <si>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</si>
  <si>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</si>
  <si>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</si>
  <si>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</si>
  <si>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</si>
  <si>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</si>
  <si>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</si>
  <si>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</si>
  <si>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</si>
  <si>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</si>
  <si>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</si>
  <si>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</si>
  <si>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</si>
  <si>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</si>
  <si>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</si>
  <si>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</si>
  <si>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</si>
  <si>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</si>
  <si>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</si>
  <si>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</si>
  <si>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</si>
  <si>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</si>
  <si>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</si>
  <si>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</si>
  <si>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</si>
  <si>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</si>
  <si>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</si>
  <si>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</si>
  <si>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</si>
  <si>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</si>
  <si>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</si>
  <si>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</si>
  <si>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</si>
  <si>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</si>
  <si>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</si>
  <si>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</si>
  <si>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</si>
  <si>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</si>
  <si>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</si>
  <si>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</si>
  <si>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</si>
  <si>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</si>
  <si>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</si>
  <si>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</si>
  <si>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</si>
  <si>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</si>
  <si>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</si>
  <si>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</si>
  <si>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</si>
  <si>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</si>
  <si>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</si>
  <si>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</si>
  <si>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</si>
  <si>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</si>
  <si>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</si>
  <si>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</si>
  <si>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</si>
  <si>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</si>
  <si>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</si>
  <si>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</si>
  <si>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</si>
  <si>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</si>
  <si>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</si>
  <si>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</si>
  <si>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</si>
  <si>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</si>
  <si>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</si>
  <si>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</si>
  <si>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</si>
  <si>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</si>
  <si>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</si>
  <si>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</si>
  <si>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</si>
  <si>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</si>
  <si>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</si>
  <si>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</si>
  <si>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</si>
  <si>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</si>
  <si>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</si>
  <si>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</si>
  <si>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</si>
  <si>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</si>
  <si>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</si>
  <si>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</si>
  <si>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</si>
  <si>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</si>
  <si>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</si>
  <si>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</si>
  <si>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</si>
  <si>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</si>
  <si>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</si>
  <si>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</si>
  <si>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</si>
  <si>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</si>
  <si>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</si>
  <si>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</si>
  <si>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</si>
  <si>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</si>
  <si>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</si>
  <si>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</si>
  <si>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</si>
  <si>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</si>
  <si>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</si>
  <si>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</si>
  <si>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</si>
  <si>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</si>
  <si>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</si>
  <si>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</si>
  <si>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</si>
  <si>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</si>
  <si>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</si>
  <si>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</si>
  <si>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</si>
  <si>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</si>
  <si>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</si>
  <si>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</si>
  <si>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</si>
  <si>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</si>
  <si>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</si>
  <si>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</si>
  <si>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</si>
  <si>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</si>
  <si>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</si>
  <si>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</si>
  <si>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</si>
  <si>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</si>
  <si>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</si>
  <si>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</si>
  <si>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</si>
  <si>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</si>
  <si>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</si>
  <si>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</si>
  <si>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</si>
  <si>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</si>
  <si>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</si>
  <si>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</si>
  <si>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</si>
  <si>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</si>
  <si>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</si>
  <si>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</si>
  <si>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</si>
  <si>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</si>
  <si>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</si>
  <si>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</si>
  <si>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</si>
  <si>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</si>
  <si>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</si>
  <si>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</si>
  <si>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</si>
  <si>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</si>
  <si>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</si>
  <si>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</si>
  <si>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</si>
  <si>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</si>
  <si>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</si>
  <si>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</si>
  <si>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</si>
  <si>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</si>
  <si>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</si>
  <si>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</si>
  <si>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</si>
  <si>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</si>
  <si>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</si>
  <si>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</si>
  <si>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</si>
  <si>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</si>
  <si>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</si>
  <si>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</si>
  <si>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</si>
  <si>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</si>
  <si>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</si>
  <si>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</si>
  <si>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</si>
  <si>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</si>
  <si>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</si>
  <si>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</si>
  <si>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</si>
  <si>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</si>
  <si>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</si>
  <si>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</si>
  <si>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</si>
  <si>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</si>
  <si>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</si>
  <si>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</si>
  <si>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</si>
  <si>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</si>
  <si>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</si>
  <si>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</si>
  <si>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</si>
  <si>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</si>
  <si>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</si>
  <si>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</si>
  <si>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</si>
  <si>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</si>
  <si>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</si>
  <si>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</si>
  <si>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</si>
  <si>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</si>
  <si>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</si>
  <si>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</si>
  <si>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</si>
  <si>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</si>
  <si>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</si>
  <si>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</si>
  <si>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</si>
  <si>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</si>
  <si>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</si>
  <si>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</si>
  <si>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</si>
  <si>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</si>
  <si>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</si>
  <si>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</si>
  <si>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</si>
  <si>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</si>
  <si>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</si>
  <si>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</si>
  <si>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</si>
  <si>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</si>
  <si>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</si>
  <si>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</si>
  <si>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</si>
  <si>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</si>
  <si>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</si>
  <si>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</si>
  <si>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</si>
  <si>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</si>
  <si>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</si>
  <si>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</si>
  <si>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</si>
  <si>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</si>
  <si>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</si>
  <si>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</si>
  <si>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</si>
  <si>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</si>
  <si>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</si>
  <si>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</si>
  <si>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</si>
  <si>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</si>
  <si>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</si>
  <si>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</si>
  <si>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</si>
  <si>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</si>
  <si>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</si>
  <si>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</si>
  <si>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</si>
  <si>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</si>
  <si>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</si>
  <si>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</si>
  <si>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</si>
  <si>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</si>
  <si>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</si>
  <si>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</si>
  <si>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</si>
  <si>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</si>
  <si>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</si>
  <si>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</si>
  <si>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</si>
  <si>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</si>
  <si>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</si>
  <si>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</si>
  <si>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</si>
  <si>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</si>
  <si>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</si>
  <si>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</si>
  <si>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</si>
  <si>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</si>
  <si>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</si>
  <si>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</si>
  <si>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</si>
  <si>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</si>
  <si>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</si>
  <si>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</si>
  <si>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</si>
  <si>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</si>
  <si>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</si>
  <si>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</si>
  <si>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</si>
  <si>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</si>
  <si>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</si>
  <si>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</si>
  <si>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</si>
  <si>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</si>
  <si>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</si>
  <si>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</si>
  <si>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</si>
  <si>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</si>
  <si>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</si>
  <si>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</si>
  <si>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</si>
  <si>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</si>
  <si>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</si>
  <si>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</si>
  <si>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</si>
  <si>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</si>
  <si>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</si>
  <si>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</si>
  <si>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</si>
  <si>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</si>
  <si>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</si>
  <si>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</si>
  <si>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</si>
  <si>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</si>
  <si>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</si>
  <si>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</si>
  <si>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</si>
  <si>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</si>
  <si>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</si>
  <si>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</si>
  <si>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</si>
  <si>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</si>
  <si>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</si>
  <si>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</si>
  <si>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</si>
  <si>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</si>
  <si>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</si>
  <si>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</si>
  <si>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</si>
  <si>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</si>
  <si>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</si>
  <si>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</si>
  <si>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</si>
  <si>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</si>
  <si>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</si>
  <si>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</si>
  <si>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</si>
  <si>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</si>
  <si>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</si>
  <si>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</si>
  <si>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</si>
  <si>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</si>
  <si>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</si>
  <si>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</si>
  <si>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</si>
  <si>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</si>
  <si>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</si>
  <si>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</si>
  <si>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</si>
  <si>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</si>
  <si>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</si>
  <si>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</si>
  <si>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</si>
  <si>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</si>
  <si>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</si>
  <si>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</si>
  <si>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</si>
  <si>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</si>
  <si>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</si>
  <si>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</si>
  <si>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</si>
  <si>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</si>
  <si>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</si>
  <si>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</si>
  <si>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</si>
  <si>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</si>
  <si>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</si>
  <si>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</si>
  <si>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</si>
  <si>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</si>
  <si>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</si>
  <si>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</si>
  <si>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</si>
  <si>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</si>
  <si>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</si>
  <si>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</si>
  <si>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</si>
  <si>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</si>
  <si>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</si>
  <si>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</si>
  <si>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</si>
  <si>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</si>
  <si>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</si>
  <si>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</si>
  <si>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</si>
  <si>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</si>
  <si>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</si>
  <si>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</si>
  <si>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</si>
  <si>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</si>
  <si>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</si>
  <si>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</si>
  <si>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</si>
  <si>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</si>
  <si>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</si>
  <si>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</si>
  <si>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</si>
  <si>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</si>
  <si>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</si>
  <si>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</si>
  <si>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</si>
  <si>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</si>
  <si>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</si>
  <si>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</si>
  <si>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</si>
  <si>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</si>
  <si>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</si>
  <si>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</si>
  <si>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</si>
  <si>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</si>
  <si>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</si>
  <si>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</si>
  <si>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</si>
  <si>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</si>
  <si>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</si>
  <si>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</si>
  <si>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</si>
  <si>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</si>
  <si>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</si>
  <si>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</si>
  <si>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</si>
  <si>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</si>
  <si>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</si>
  <si>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</si>
  <si>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</si>
  <si>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</si>
  <si>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</si>
  <si>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</si>
  <si>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</si>
  <si>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</si>
  <si>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</si>
  <si>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</si>
  <si>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</si>
  <si>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</si>
  <si>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</si>
  <si>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</si>
  <si>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</si>
  <si>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</si>
  <si>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</si>
  <si>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</si>
  <si>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</si>
  <si>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</si>
  <si>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</si>
  <si>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</si>
  <si>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</si>
  <si>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</si>
  <si>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</si>
  <si>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</si>
  <si>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</si>
  <si>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</si>
  <si>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</si>
  <si>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</si>
  <si>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</si>
  <si>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</si>
  <si>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</si>
  <si>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</si>
  <si>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</si>
  <si>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</si>
  <si>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</si>
  <si>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</si>
  <si>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</si>
  <si>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</si>
  <si>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</si>
  <si>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</si>
  <si>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</si>
  <si>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</si>
  <si>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</si>
  <si>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</si>
  <si>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</si>
  <si>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</si>
  <si>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</si>
  <si>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</si>
  <si>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</si>
  <si>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</si>
  <si>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</si>
  <si>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</si>
  <si>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</si>
  <si>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</si>
  <si>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</si>
  <si>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</si>
  <si>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</si>
  <si>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</si>
  <si>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</si>
  <si>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</si>
  <si>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</si>
  <si>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</si>
  <si>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</si>
  <si>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</si>
  <si>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</si>
  <si>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</si>
  <si>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</si>
  <si>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</si>
  <si>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</si>
  <si>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</si>
  <si>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</si>
  <si>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</si>
  <si>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</si>
  <si>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</si>
  <si>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</si>
  <si>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</si>
  <si>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</si>
  <si>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</si>
  <si>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</si>
  <si>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</si>
  <si>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</si>
  <si>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</si>
  <si>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</si>
  <si>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</si>
  <si>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</si>
  <si>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</si>
  <si>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</si>
  <si>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</si>
  <si>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</si>
  <si>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</si>
  <si>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</si>
  <si>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</si>
  <si>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</si>
  <si>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</si>
  <si>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</si>
  <si>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</si>
  <si>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</si>
  <si>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</si>
  <si>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</si>
  <si>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</si>
  <si>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</si>
  <si>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</si>
  <si>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</si>
  <si>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</si>
  <si>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</si>
  <si>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</si>
  <si>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</si>
  <si>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</si>
  <si>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</si>
  <si>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</si>
  <si>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</si>
  <si>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</si>
  <si>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</si>
  <si>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</si>
  <si>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</si>
  <si>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</si>
  <si>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</si>
  <si>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</si>
  <si>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</si>
  <si>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</si>
  <si>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</si>
  <si>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</si>
  <si>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</si>
  <si>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</si>
  <si>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</si>
  <si>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</si>
  <si>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</si>
  <si>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</si>
  <si>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</si>
  <si>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</si>
  <si>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</si>
  <si>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</si>
  <si>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</si>
  <si>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</si>
  <si>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</si>
  <si>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</si>
  <si>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</si>
  <si>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</si>
  <si>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</si>
  <si>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</si>
  <si>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</si>
  <si>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</si>
  <si>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</si>
  <si>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</si>
  <si>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</si>
  <si>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</si>
  <si>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</si>
  <si>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</si>
  <si>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</si>
  <si>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</si>
  <si>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</si>
  <si>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</si>
  <si>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</si>
  <si>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</si>
  <si>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</si>
  <si>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</si>
  <si>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</si>
  <si>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</si>
  <si>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</si>
  <si>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</si>
  <si>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</si>
  <si>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</si>
  <si>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</si>
  <si>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</si>
  <si>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</si>
  <si>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</si>
  <si>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</si>
  <si>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</si>
  <si>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</si>
  <si>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</si>
  <si>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</si>
  <si>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</si>
  <si>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</si>
  <si>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</si>
  <si>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</si>
  <si>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</si>
  <si>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</si>
  <si>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</si>
  <si>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</si>
  <si>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</si>
  <si>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</si>
  <si>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</si>
  <si>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</si>
  <si>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</si>
  <si>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</si>
  <si>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</si>
  <si>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</si>
  <si>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</si>
  <si>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</si>
  <si>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</si>
  <si>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</si>
  <si>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</si>
  <si>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</si>
  <si>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</si>
  <si>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</si>
  <si>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</si>
  <si>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</si>
  <si>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</si>
  <si>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</si>
  <si>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</si>
  <si>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</si>
  <si>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</si>
  <si>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</si>
  <si>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</si>
  <si>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</si>
  <si>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</si>
  <si>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</si>
  <si>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</si>
  <si>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</si>
  <si>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</si>
  <si>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</si>
  <si>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</si>
  <si>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</si>
  <si>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</si>
  <si>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</si>
  <si>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</si>
  <si>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</si>
  <si>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</si>
  <si>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</si>
  <si>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</si>
  <si>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</si>
  <si>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</si>
  <si>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</si>
  <si>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</si>
  <si>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</si>
  <si>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</si>
  <si>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</si>
  <si>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</si>
  <si>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</si>
  <si>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</si>
  <si>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</si>
  <si>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</si>
  <si>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</si>
  <si>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</si>
  <si>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</si>
  <si>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</si>
  <si>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</si>
  <si>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</si>
  <si>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</si>
  <si>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</si>
  <si>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</si>
  <si>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</si>
  <si>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</si>
  <si>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</si>
  <si>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</si>
  <si>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</si>
  <si>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</si>
  <si>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</si>
  <si>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</si>
  <si>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</si>
  <si>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</si>
  <si>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</si>
  <si>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</si>
  <si>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</si>
  <si>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</si>
  <si>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</si>
  <si>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</si>
  <si>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</si>
  <si>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</si>
  <si>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</si>
  <si>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</si>
  <si>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</si>
  <si>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</si>
  <si>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</si>
  <si>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</si>
  <si>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</si>
  <si>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</si>
  <si>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</si>
  <si>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</si>
  <si>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</si>
  <si>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</si>
  <si>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</si>
  <si>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</si>
  <si>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</si>
  <si>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</si>
  <si>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</si>
  <si>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</si>
  <si>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</si>
  <si>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</si>
  <si>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</si>
  <si>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</si>
  <si>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</si>
  <si>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</si>
  <si>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</si>
  <si>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</si>
  <si>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</si>
  <si>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</si>
  <si>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</si>
  <si>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</si>
  <si>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</si>
  <si>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</si>
  <si>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</si>
  <si>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</si>
  <si>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</si>
  <si>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</si>
  <si>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</si>
  <si>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</si>
  <si>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</si>
  <si>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</si>
  <si>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</si>
  <si>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</si>
  <si>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</si>
  <si>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</si>
  <si>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</si>
  <si>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</si>
  <si>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</si>
  <si>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</si>
  <si>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</si>
  <si>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</si>
  <si>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</si>
  <si>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</si>
  <si>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</si>
  <si>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</si>
  <si>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</si>
  <si>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</si>
  <si>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</si>
  <si>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</si>
  <si>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</si>
  <si>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</si>
  <si>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</si>
  <si>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</si>
  <si>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</si>
  <si>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</si>
  <si>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</si>
  <si>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</si>
  <si>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</si>
  <si>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</si>
  <si>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</si>
  <si>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</si>
  <si>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</si>
  <si>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</si>
  <si>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</si>
  <si>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</si>
  <si>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</si>
  <si>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</si>
  <si>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</si>
  <si>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</si>
  <si>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</si>
  <si>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</si>
  <si>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</si>
  <si>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</si>
  <si>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</si>
  <si>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</si>
  <si>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</si>
  <si>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</si>
  <si>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</si>
  <si>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</si>
  <si>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</si>
  <si>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</si>
  <si>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</si>
  <si>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</si>
  <si>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</si>
  <si>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</si>
  <si>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</si>
  <si>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</si>
  <si>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</si>
  <si>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</si>
  <si>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</si>
  <si>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</si>
  <si>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</si>
  <si>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</si>
  <si>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</si>
  <si>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</si>
  <si>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</si>
  <si>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</si>
  <si>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</si>
  <si>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</si>
  <si>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</si>
  <si>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</si>
  <si>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</si>
  <si>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</si>
  <si>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</si>
  <si>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</si>
  <si>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</si>
  <si>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</si>
  <si>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</si>
  <si>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</si>
  <si>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</si>
  <si>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</si>
  <si>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</si>
  <si>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</si>
  <si>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</si>
  <si>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</si>
  <si>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</si>
  <si>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</si>
  <si>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</si>
  <si>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</si>
  <si>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</si>
  <si>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</si>
  <si>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</si>
  <si>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</si>
  <si>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</si>
  <si>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</si>
  <si>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</si>
  <si>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</si>
  <si>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</si>
  <si>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</si>
  <si>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</si>
  <si>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</si>
  <si>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</si>
  <si>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</si>
  <si>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</si>
  <si>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</si>
  <si>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</si>
  <si>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</si>
  <si>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</si>
  <si>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</si>
  <si>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</si>
  <si>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</si>
  <si>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</si>
  <si>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</si>
  <si>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</si>
  <si>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</si>
  <si>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</si>
  <si>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</si>
  <si>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</si>
  <si>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</si>
  <si>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</si>
  <si>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</si>
  <si>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</si>
  <si>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</si>
  <si>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</si>
  <si>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</si>
  <si>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</si>
  <si>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</si>
  <si>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</si>
  <si>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</si>
  <si>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</si>
  <si>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</si>
  <si>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</si>
  <si>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</si>
  <si>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</si>
  <si>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</si>
  <si>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</si>
  <si>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</si>
  <si>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</si>
  <si>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</si>
  <si>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</si>
  <si>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</si>
  <si>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</si>
  <si>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</si>
  <si>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</si>
  <si>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</si>
  <si>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</si>
  <si>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</si>
  <si>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</si>
  <si>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</si>
  <si>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</si>
  <si>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</si>
  <si>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</si>
  <si>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</si>
  <si>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</si>
  <si>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</si>
  <si>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</si>
  <si>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</si>
  <si>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</si>
  <si>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</si>
  <si>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</si>
  <si>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</si>
  <si>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</si>
  <si>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</si>
  <si>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</si>
  <si>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</si>
  <si>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</si>
  <si>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</si>
  <si>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</si>
  <si>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</si>
  <si>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</si>
  <si>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</si>
  <si>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</si>
  <si>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</si>
  <si>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</si>
  <si>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</si>
  <si>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</si>
  <si>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</si>
  <si>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</si>
  <si>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</si>
  <si>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</si>
  <si>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</si>
  <si>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</si>
  <si>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</si>
  <si>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</si>
  <si>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</si>
  <si>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</si>
  <si>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</si>
  <si>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</si>
  <si>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</si>
  <si>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</si>
  <si>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</si>
  <si>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</si>
  <si>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</si>
  <si>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</si>
  <si>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</si>
  <si>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</si>
  <si>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</si>
  <si>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</si>
  <si>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</si>
  <si>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</si>
  <si>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</si>
  <si>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</si>
  <si>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</si>
  <si>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</si>
  <si>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</si>
  <si>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</si>
  <si>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</si>
  <si>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</si>
  <si>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</si>
  <si>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</si>
  <si>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</si>
  <si>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</si>
  <si>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</si>
  <si>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</si>
  <si>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</si>
  <si>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</si>
  <si>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</si>
  <si>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</si>
  <si>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</si>
  <si>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</si>
  <si>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</si>
  <si>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</si>
  <si>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</si>
  <si>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</si>
  <si>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</si>
  <si>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</si>
  <si>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</si>
  <si>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</si>
  <si>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</si>
  <si>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</si>
  <si>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</si>
  <si>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</si>
  <si>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</si>
  <si>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</si>
  <si>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</si>
  <si>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</si>
  <si>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</si>
  <si>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</si>
  <si>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</si>
  <si>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</si>
  <si>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</si>
  <si>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</si>
  <si>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</si>
  <si>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</si>
  <si>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</si>
  <si>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</si>
  <si>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</si>
  <si>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</si>
  <si>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</si>
  <si>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</si>
  <si>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</si>
  <si>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</si>
  <si>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</si>
  <si>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</si>
  <si>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</si>
  <si>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</si>
  <si>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</si>
  <si>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</si>
  <si>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</si>
  <si>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</si>
  <si>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</si>
  <si>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</si>
  <si>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</si>
  <si>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</si>
  <si>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</si>
  <si>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</si>
  <si>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</si>
  <si>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</si>
  <si>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</si>
  <si>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</si>
  <si>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</si>
  <si>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</si>
  <si>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</si>
  <si>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</si>
  <si>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</si>
  <si>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</si>
  <si>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</si>
  <si>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</si>
  <si>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</si>
  <si>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</si>
  <si>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</si>
  <si>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</si>
  <si>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</si>
  <si>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</si>
  <si>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</si>
  <si>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</si>
  <si>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</si>
  <si>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</si>
  <si>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</si>
  <si>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</si>
  <si>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</si>
  <si>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</si>
  <si>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</si>
  <si>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</si>
  <si>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</si>
  <si>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</si>
  <si>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</si>
  <si>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</si>
  <si>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</si>
  <si>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</si>
  <si>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</si>
  <si>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</si>
  <si>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</si>
  <si>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</si>
  <si>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</si>
  <si>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</si>
  <si>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</si>
  <si>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</si>
  <si>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</si>
  <si>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</si>
  <si>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</si>
  <si>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</si>
  <si>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</si>
  <si>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</si>
  <si>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</si>
  <si>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</si>
  <si>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</si>
  <si>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</si>
  <si>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</si>
  <si>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</si>
  <si>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</si>
  <si>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</si>
  <si>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</si>
  <si>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</si>
  <si>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</si>
  <si>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</si>
  <si>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</si>
  <si>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</si>
  <si>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</si>
  <si>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</si>
  <si>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</si>
  <si>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</si>
  <si>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</si>
  <si>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</si>
  <si>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</si>
  <si>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</si>
  <si>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</si>
  <si>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</si>
  <si>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</si>
  <si>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</si>
  <si>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</si>
  <si>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</si>
  <si>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</si>
  <si>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</si>
  <si>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</si>
  <si>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</si>
  <si>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</si>
  <si>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</si>
  <si>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</si>
  <si>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</si>
  <si>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</si>
  <si>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</si>
  <si>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</si>
  <si>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</si>
  <si>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</si>
  <si>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</si>
  <si>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</si>
  <si>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</si>
  <si>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</si>
  <si>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</si>
  <si>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</si>
  <si>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</si>
  <si>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</si>
  <si>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</si>
  <si>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</si>
  <si>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</si>
  <si>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</si>
  <si>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</si>
  <si>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</si>
  <si>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</si>
  <si>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</si>
  <si>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</si>
  <si>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</si>
  <si>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</si>
  <si>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</si>
  <si>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</si>
  <si>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</si>
  <si>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</si>
  <si>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</si>
  <si>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</si>
  <si>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</si>
  <si>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</si>
  <si>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</si>
  <si>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</si>
  <si>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</si>
  <si>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</si>
  <si>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</si>
  <si>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</si>
  <si>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</si>
  <si>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</si>
  <si>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</si>
  <si>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</si>
  <si>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</si>
  <si>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</si>
  <si>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</si>
  <si>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</si>
  <si>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</si>
  <si>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</si>
  <si>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</si>
  <si>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</si>
  <si>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</si>
  <si>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</si>
  <si>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</si>
  <si>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</si>
  <si>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</si>
  <si>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</si>
  <si>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</si>
  <si>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</si>
  <si>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</si>
  <si>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</si>
  <si>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</si>
  <si>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</si>
  <si>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</si>
  <si>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</si>
  <si>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</si>
  <si>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</si>
  <si>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</si>
  <si>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</si>
  <si>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</si>
  <si>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</si>
  <si>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</si>
  <si>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</si>
  <si>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</si>
  <si>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</si>
  <si>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</si>
  <si>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</si>
  <si>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</si>
  <si>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</si>
  <si>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</si>
  <si>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</si>
  <si>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</si>
  <si>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</si>
  <si>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</si>
  <si>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</si>
  <si>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</si>
  <si>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</si>
  <si>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</si>
  <si>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</si>
  <si>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</si>
  <si>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</si>
  <si>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</si>
  <si>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</si>
  <si>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</si>
  <si>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</si>
  <si>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</si>
  <si>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</si>
  <si>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</si>
  <si>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</si>
  <si>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</si>
  <si>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</si>
  <si>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</si>
  <si>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</si>
  <si>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</si>
  <si>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</si>
  <si>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</si>
  <si>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</si>
  <si>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</si>
  <si>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</si>
  <si>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</si>
  <si>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</si>
  <si>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</si>
  <si>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</si>
  <si>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</si>
  <si>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</si>
  <si>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</si>
  <si>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</si>
  <si>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</si>
  <si>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</si>
  <si>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</si>
  <si>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</si>
  <si>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</si>
  <si>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</si>
  <si>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</si>
  <si>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</si>
  <si>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</si>
  <si>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</si>
  <si>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</si>
  <si>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</si>
  <si>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</si>
  <si>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</si>
  <si>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</si>
  <si>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</si>
  <si>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</si>
  <si>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</si>
  <si>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</si>
  <si>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</si>
  <si>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</si>
  <si>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</si>
  <si>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</si>
  <si>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</si>
  <si>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</si>
  <si>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</si>
  <si>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</si>
  <si>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</si>
  <si>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</si>
  <si>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</si>
  <si>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</si>
  <si>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</si>
  <si>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</si>
  <si>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</si>
  <si>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</si>
  <si>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</si>
  <si>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</si>
  <si>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</si>
  <si>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</si>
  <si>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</si>
  <si>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</si>
  <si>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</si>
  <si>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</si>
  <si>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</si>
  <si>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</si>
  <si>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</si>
  <si>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</si>
  <si>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</si>
  <si>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</si>
  <si>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</si>
  <si>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</si>
  <si>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</si>
  <si>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</si>
  <si>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</si>
  <si>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</si>
  <si>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</si>
  <si>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</si>
  <si>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</si>
  <si>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</si>
  <si>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</si>
  <si>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</si>
  <si>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</si>
  <si>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</si>
  <si>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</si>
  <si>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</si>
  <si>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</si>
  <si>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</si>
  <si>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</si>
  <si>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</si>
  <si>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</si>
  <si>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</si>
  <si>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</si>
  <si>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</si>
  <si>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</si>
  <si>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</si>
  <si>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</si>
  <si>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</si>
  <si>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</si>
  <si>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</si>
  <si>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</si>
  <si>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</si>
  <si>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</si>
  <si>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</si>
  <si>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</si>
  <si>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</si>
  <si>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</si>
  <si>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</si>
  <si>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</si>
  <si>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</si>
  <si>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</si>
  <si>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</si>
  <si>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</si>
  <si>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</si>
  <si>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</si>
  <si>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</si>
  <si>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</si>
  <si>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</si>
  <si>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</si>
  <si>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</si>
  <si>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</si>
  <si>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</si>
  <si>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</si>
  <si>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</si>
  <si>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</si>
  <si>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</si>
  <si>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</si>
  <si>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</si>
  <si>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</si>
  <si>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</si>
  <si>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</si>
  <si>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</si>
  <si>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</si>
  <si>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</si>
  <si>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</si>
  <si>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</si>
  <si>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</si>
  <si>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</si>
  <si>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</si>
  <si>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</si>
  <si>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</si>
  <si>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</si>
  <si>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</si>
  <si>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</si>
  <si>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</si>
  <si>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</si>
  <si>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</si>
  <si>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</si>
  <si>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</si>
  <si>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</si>
  <si>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</si>
  <si>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</si>
  <si>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</si>
  <si>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</si>
  <si>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</si>
  <si>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</si>
  <si>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</si>
  <si>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</si>
  <si>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</si>
  <si>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</si>
  <si>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</si>
  <si>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</si>
  <si>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</si>
  <si>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</si>
  <si>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</si>
  <si>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</si>
  <si>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</si>
  <si>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</si>
  <si>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</si>
  <si>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</si>
  <si>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</si>
  <si>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</si>
  <si>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</si>
  <si>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</si>
  <si>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</si>
  <si>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</si>
  <si>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</si>
  <si>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</si>
  <si>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</si>
  <si>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</si>
  <si>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</si>
  <si>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</si>
  <si>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</si>
  <si>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</si>
  <si>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</si>
  <si>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</si>
  <si>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</si>
  <si>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</si>
  <si>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</si>
  <si>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</si>
  <si>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</si>
  <si>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</si>
  <si>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</si>
  <si>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</si>
  <si>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</si>
  <si>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</si>
  <si>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</si>
  <si>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</si>
  <si>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</si>
  <si>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</si>
  <si>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</si>
  <si>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</si>
  <si>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</si>
  <si>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</si>
  <si>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</si>
  <si>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</si>
  <si>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</si>
  <si>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</si>
  <si>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</si>
  <si>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</si>
  <si>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</si>
  <si>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</si>
  <si>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</si>
  <si>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</si>
  <si>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</si>
  <si>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</si>
  <si>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</si>
  <si>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</si>
  <si>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</si>
  <si>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</si>
  <si>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</si>
  <si>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</si>
  <si>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</si>
  <si>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</si>
  <si>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</si>
  <si>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</si>
  <si>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</si>
  <si>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</si>
  <si>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</si>
  <si>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</si>
  <si>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</si>
  <si>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</si>
  <si>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</si>
  <si>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</si>
  <si>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</si>
  <si>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</si>
  <si>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</si>
  <si>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</si>
  <si>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</si>
  <si>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</si>
  <si>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</si>
  <si>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</si>
  <si>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</si>
  <si>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</si>
  <si>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</si>
  <si>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</si>
  <si>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</si>
  <si>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</si>
  <si>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</si>
  <si>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</si>
  <si>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</si>
  <si>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</si>
  <si>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</si>
  <si>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</si>
  <si>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</si>
  <si>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</si>
  <si>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</si>
  <si>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</si>
  <si>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</si>
  <si>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</si>
  <si>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</si>
  <si>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</si>
  <si>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</si>
  <si>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</si>
  <si>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</si>
  <si>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</si>
  <si>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</si>
  <si>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</si>
  <si>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</si>
  <si>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</si>
  <si>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</si>
  <si>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</si>
  <si>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</si>
  <si>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</si>
  <si>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</si>
  <si>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</si>
  <si>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</si>
  <si>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</si>
  <si>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</si>
  <si>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</si>
  <si>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</si>
  <si>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</si>
  <si>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</si>
  <si>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</si>
  <si>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</si>
  <si>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</si>
  <si>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</si>
  <si>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</si>
  <si>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</si>
  <si>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</si>
  <si>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</si>
  <si>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</si>
  <si>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</si>
  <si>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</si>
  <si>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</si>
  <si>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</si>
  <si>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</si>
  <si>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</si>
  <si>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</si>
  <si>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</si>
  <si>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</si>
  <si>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</si>
  <si>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</si>
  <si>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</si>
  <si>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</si>
  <si>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</si>
  <si>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</si>
  <si>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</si>
  <si>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</si>
  <si>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</si>
  <si>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</si>
  <si>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</si>
  <si>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</si>
  <si>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</si>
  <si>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</si>
  <si>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</si>
  <si>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</si>
  <si>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</si>
  <si>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</si>
  <si>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</si>
  <si>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</si>
  <si>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</si>
  <si>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</si>
  <si>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</si>
  <si>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</si>
  <si>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</si>
  <si>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</si>
  <si>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</si>
  <si>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</si>
  <si>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</si>
  <si>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</si>
  <si>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</si>
  <si>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</si>
  <si>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</si>
  <si>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</si>
  <si>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</si>
  <si>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</si>
  <si>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</si>
  <si>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</si>
  <si>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</si>
  <si>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</si>
  <si>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</si>
  <si>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</si>
  <si>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</si>
  <si>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</si>
  <si>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</si>
  <si>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</si>
  <si>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</si>
  <si>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</si>
  <si>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</si>
  <si>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</si>
  <si>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</si>
  <si>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</si>
  <si>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</si>
  <si>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</si>
  <si>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</si>
  <si>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</si>
  <si>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</si>
  <si>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</si>
  <si>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</si>
  <si>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</si>
  <si>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</si>
  <si>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</si>
  <si>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</si>
  <si>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</si>
  <si>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</si>
  <si>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</si>
  <si>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</si>
  <si>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</si>
  <si>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</si>
  <si>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</si>
  <si>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</si>
  <si>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</si>
  <si>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</si>
  <si>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</si>
  <si>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</si>
  <si>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</si>
  <si>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</si>
  <si>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</si>
  <si>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</si>
  <si>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</si>
  <si>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</si>
  <si>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</si>
  <si>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</si>
  <si>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</si>
  <si>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</si>
  <si>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</si>
  <si>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</si>
  <si>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</si>
  <si>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</si>
  <si>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</si>
  <si>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</si>
  <si>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</si>
  <si>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</si>
  <si>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</si>
  <si>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</si>
  <si>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</si>
  <si>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</si>
  <si>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</si>
  <si>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</si>
  <si>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</si>
  <si>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</si>
  <si>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</si>
  <si>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</si>
  <si>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</si>
  <si>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</si>
  <si>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</si>
  <si>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</si>
  <si>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</si>
  <si>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</si>
  <si>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</si>
  <si>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</si>
  <si>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</si>
  <si>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</si>
  <si>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</si>
  <si>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</si>
  <si>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</si>
  <si>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</si>
  <si>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</si>
  <si>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</si>
  <si>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</si>
  <si>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</si>
  <si>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</si>
  <si>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</si>
  <si>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</si>
  <si>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</si>
  <si>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</si>
  <si>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</si>
  <si>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</si>
  <si>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</si>
  <si>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</si>
  <si>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</si>
  <si>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</si>
  <si>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</si>
  <si>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</si>
  <si>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</si>
  <si>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</si>
  <si>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</si>
  <si>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</si>
  <si>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</si>
  <si>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</si>
  <si>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</si>
  <si>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</si>
  <si>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</si>
  <si>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</si>
  <si>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</si>
  <si>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</si>
  <si>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</si>
  <si>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</si>
  <si>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</si>
  <si>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</si>
  <si>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</si>
  <si>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</si>
  <si>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</si>
  <si>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</si>
  <si>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</si>
  <si>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</si>
  <si>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</si>
  <si>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</si>
  <si>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</si>
  <si>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</si>
  <si>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</si>
  <si>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</si>
  <si>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</si>
  <si>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</si>
  <si>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</si>
  <si>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</si>
  <si>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</si>
  <si>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</si>
  <si>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</si>
  <si>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</si>
  <si>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</si>
  <si>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</si>
  <si>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</si>
  <si>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</si>
  <si>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</si>
  <si>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</si>
  <si>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</si>
  <si>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</si>
  <si>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</si>
  <si>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</si>
  <si>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</si>
  <si>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</si>
  <si>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</si>
  <si>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</si>
  <si>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</si>
  <si>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</si>
  <si>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</si>
  <si>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</si>
  <si>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</si>
  <si>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</si>
  <si>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</si>
  <si>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</si>
  <si>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</si>
  <si>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</si>
  <si>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</si>
  <si>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</si>
  <si>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</si>
  <si>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</si>
  <si>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</si>
  <si>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</si>
  <si>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</si>
  <si>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</si>
  <si>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</si>
  <si>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</si>
  <si>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</si>
  <si>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</si>
  <si>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</si>
  <si>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</si>
  <si>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</si>
  <si>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</si>
  <si>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</si>
  <si>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</si>
  <si>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</si>
  <si>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</si>
  <si>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</si>
  <si>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</si>
  <si>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</si>
  <si>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</si>
  <si>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</si>
  <si>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</si>
  <si>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</si>
  <si>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</si>
  <si>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</si>
  <si>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</si>
  <si>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</si>
  <si>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</si>
  <si>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</si>
  <si>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</si>
  <si>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</si>
  <si>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</si>
  <si>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</si>
  <si>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</si>
  <si>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</si>
  <si>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</si>
  <si>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</si>
  <si>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</si>
  <si>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</si>
  <si>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</si>
  <si>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</si>
  <si>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</si>
  <si>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</si>
  <si>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</si>
  <si>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</si>
  <si>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</si>
  <si>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</si>
  <si>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</si>
  <si>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</si>
  <si>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</si>
  <si>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</si>
  <si>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</si>
  <si>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</si>
  <si>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</si>
  <si>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</si>
  <si>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</si>
  <si>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</si>
  <si>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</si>
  <si>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</si>
  <si>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</si>
  <si>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</si>
  <si>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</si>
  <si>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</si>
  <si>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</si>
  <si>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</si>
  <si>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</si>
  <si>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</si>
  <si>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</si>
  <si>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</si>
  <si>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</si>
  <si>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</si>
  <si>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</si>
  <si>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</si>
  <si>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</si>
  <si>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</si>
  <si>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</si>
  <si>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</si>
  <si>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</si>
  <si>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</si>
  <si>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</si>
  <si>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</si>
  <si>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</si>
  <si>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</si>
  <si>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</si>
  <si>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</si>
  <si>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</si>
  <si>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</si>
  <si>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</si>
  <si>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</si>
  <si>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</si>
  <si>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</si>
  <si>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</si>
  <si>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</si>
  <si>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</si>
  <si>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</si>
  <si>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</si>
  <si>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</si>
  <si>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</si>
  <si>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</si>
  <si>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</si>
  <si>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</si>
  <si>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</si>
  <si>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</si>
  <si>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</si>
  <si>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</si>
  <si>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</si>
  <si>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</si>
  <si>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</si>
  <si>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</si>
  <si>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</si>
  <si>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</si>
  <si>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</si>
  <si>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</si>
  <si>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</si>
  <si>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</si>
  <si>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</si>
  <si>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</si>
  <si>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</si>
  <si>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</si>
  <si>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</si>
  <si>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</si>
  <si>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</si>
  <si>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</si>
  <si>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</si>
  <si>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</si>
  <si>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</si>
  <si>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</si>
  <si>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</si>
  <si>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</si>
  <si>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</si>
  <si>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</si>
  <si>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</si>
  <si>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</si>
  <si>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</si>
  <si>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</si>
  <si>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</si>
  <si>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</si>
  <si>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</si>
  <si>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</si>
  <si>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</si>
  <si>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</si>
  <si>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</si>
  <si>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</si>
  <si>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</si>
  <si>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</si>
  <si>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</si>
  <si>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</si>
  <si>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</si>
  <si>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</si>
  <si>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</si>
  <si>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</si>
  <si>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</si>
  <si>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</si>
  <si>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</si>
  <si>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</si>
  <si>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</si>
  <si>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</si>
  <si>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</si>
  <si>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</si>
  <si>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</si>
  <si>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</si>
  <si>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</si>
  <si>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</si>
  <si>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</si>
  <si>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</si>
  <si>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</si>
  <si>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</si>
  <si>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</si>
  <si>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</si>
  <si>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</si>
  <si>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</si>
  <si>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</si>
  <si>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</si>
  <si>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</si>
  <si>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</si>
  <si>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</si>
  <si>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</si>
  <si>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</si>
  <si>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</si>
  <si>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</si>
  <si>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</si>
  <si>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</si>
  <si>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</si>
  <si>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</si>
  <si>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</si>
  <si>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</si>
  <si>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</si>
  <si>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</si>
  <si>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</si>
  <si>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</si>
  <si>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</si>
  <si>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</si>
  <si>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</si>
  <si>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</si>
  <si>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</si>
  <si>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</si>
  <si>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</si>
  <si>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</si>
  <si>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</si>
  <si>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</si>
  <si>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</si>
  <si>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</si>
  <si>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</si>
  <si>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</si>
  <si>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</si>
  <si>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</si>
  <si>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</si>
  <si>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</si>
  <si>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</si>
  <si>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</si>
  <si>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</si>
  <si>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</si>
  <si>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</si>
  <si>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</si>
  <si>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</si>
  <si>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</si>
  <si>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</si>
  <si>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</si>
  <si>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</si>
  <si>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</si>
  <si>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</si>
  <si>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</si>
  <si>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</si>
  <si>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</si>
  <si>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</si>
  <si>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</si>
  <si>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</si>
  <si>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</si>
  <si>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</si>
  <si>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</si>
  <si>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</si>
  <si>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</si>
  <si>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</si>
  <si>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</si>
  <si>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</si>
  <si>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</si>
  <si>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</si>
  <si>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</si>
  <si>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</si>
  <si>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</si>
  <si>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</si>
  <si>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</si>
  <si>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</si>
  <si>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</si>
  <si>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</si>
  <si>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</si>
  <si>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</si>
  <si>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</si>
  <si>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</si>
  <si>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</si>
  <si>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</si>
  <si>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</si>
  <si>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</si>
  <si>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</si>
  <si>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</si>
  <si>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</si>
  <si>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</si>
  <si>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</si>
  <si>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</si>
  <si>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</si>
  <si>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</si>
  <si>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</si>
  <si>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</si>
  <si>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</si>
  <si>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</si>
  <si>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</si>
  <si>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</si>
  <si>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</si>
  <si>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</si>
  <si>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</si>
  <si>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</si>
  <si>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</si>
  <si>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</si>
  <si>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</si>
  <si>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</si>
  <si>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</si>
  <si>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</si>
  <si>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</si>
  <si>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</si>
  <si>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</si>
  <si>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</si>
  <si>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</si>
  <si>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</si>
  <si>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</si>
  <si>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</si>
  <si>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</si>
  <si>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</si>
  <si>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</si>
  <si>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</si>
  <si>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</si>
  <si>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</si>
  <si>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</si>
  <si>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</si>
  <si>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</si>
  <si>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</si>
  <si>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</si>
  <si>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</si>
  <si>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</si>
  <si>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</si>
  <si>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</si>
  <si>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</si>
  <si>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</si>
  <si>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</si>
  <si>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</si>
  <si>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</si>
  <si>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</si>
  <si>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</si>
  <si>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</si>
  <si>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</si>
  <si>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</si>
  <si>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</si>
  <si>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</si>
  <si>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</si>
  <si>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</si>
  <si>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</si>
  <si>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</si>
  <si>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</si>
  <si>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</si>
  <si>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</si>
  <si>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</si>
  <si>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</si>
  <si>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</si>
  <si>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</si>
  <si>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</si>
  <si>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</si>
  <si>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</si>
  <si>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</si>
  <si>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</si>
  <si>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</si>
  <si>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</si>
  <si>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</si>
  <si>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</si>
  <si>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</si>
  <si>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</si>
  <si>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</si>
  <si>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</si>
  <si>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</si>
  <si>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</si>
  <si>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</si>
  <si>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</si>
  <si>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</si>
  <si>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</si>
  <si>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</si>
  <si>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</si>
  <si>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</si>
  <si>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</si>
  <si>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</si>
  <si>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</si>
  <si>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</si>
  <si>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</si>
  <si>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</si>
  <si>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</si>
  <si>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</si>
  <si>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</si>
  <si>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</si>
  <si>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</si>
  <si>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</si>
  <si>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</si>
  <si>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</si>
  <si>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</si>
  <si>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</si>
  <si>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</si>
  <si>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</si>
  <si>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</si>
  <si>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</si>
  <si>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</si>
  <si>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</si>
  <si>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</si>
  <si>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</si>
  <si>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</si>
  <si>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</si>
  <si>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</si>
  <si>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</si>
  <si>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</si>
  <si>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</si>
  <si>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</si>
  <si>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</si>
  <si>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</si>
  <si>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</si>
  <si>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</si>
  <si>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</si>
  <si>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</si>
  <si>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</si>
  <si>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</si>
  <si>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</si>
  <si>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</si>
  <si>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</si>
  <si>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</si>
  <si>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</si>
  <si>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</si>
  <si>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</si>
  <si>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</si>
  <si>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</si>
  <si>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</si>
  <si>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</si>
  <si>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</si>
  <si>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</si>
  <si>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</si>
  <si>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</si>
  <si>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</si>
  <si>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</si>
  <si>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</si>
  <si>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</si>
  <si>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</si>
  <si>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</si>
  <si>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</si>
  <si>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</si>
  <si>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</si>
  <si>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</si>
  <si>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</si>
  <si>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</si>
  <si>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</si>
  <si>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</si>
  <si>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</si>
  <si>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</si>
  <si>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</si>
  <si>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</si>
  <si>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</si>
  <si>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</si>
  <si>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</si>
  <si>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</si>
  <si>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</si>
  <si>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</si>
  <si>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</si>
  <si>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</si>
  <si>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</si>
  <si>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</si>
  <si>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</si>
  <si>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</si>
  <si>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</si>
  <si>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</si>
  <si>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</si>
  <si>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</si>
  <si>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</si>
  <si>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</si>
  <si>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</si>
  <si>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</si>
  <si>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</si>
  <si>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</si>
  <si>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</si>
  <si>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</si>
  <si>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</si>
  <si>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</si>
  <si>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</si>
  <si>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</si>
  <si>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</si>
  <si>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</si>
  <si>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</si>
  <si>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</si>
  <si>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</si>
  <si>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</si>
  <si>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</si>
  <si>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</si>
  <si>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</si>
  <si>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</si>
  <si>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</si>
  <si>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</si>
  <si>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</si>
  <si>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</si>
  <si>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</si>
  <si>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</si>
  <si>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</si>
  <si>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</si>
  <si>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</si>
  <si>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</si>
  <si>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</si>
  <si>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</si>
  <si>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</si>
  <si>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</si>
  <si>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</si>
  <si>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</si>
  <si>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</si>
  <si>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</si>
  <si>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</si>
  <si>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</si>
  <si>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</si>
  <si>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</si>
  <si>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</si>
  <si>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</si>
  <si>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</si>
  <si>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</si>
  <si>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</si>
  <si>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</si>
  <si>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</si>
  <si>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</si>
  <si>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</si>
  <si>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</si>
  <si>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</si>
  <si>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</si>
  <si>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</si>
  <si>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</si>
  <si>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</si>
  <si>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</si>
  <si>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</si>
  <si>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</si>
  <si>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</si>
  <si>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</si>
  <si>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</si>
  <si>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</si>
  <si>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</si>
  <si>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</si>
  <si>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</si>
  <si>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</si>
  <si>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</si>
  <si>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</si>
  <si>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</si>
  <si>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</si>
  <si>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</si>
  <si>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</si>
  <si>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</si>
  <si>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</si>
  <si>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</si>
  <si>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</si>
  <si>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</si>
  <si>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</si>
  <si>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</si>
  <si>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</si>
  <si>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</si>
  <si>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</si>
  <si>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</si>
  <si>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</si>
  <si>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</si>
  <si>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</si>
  <si>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</si>
  <si>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</si>
  <si>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</si>
  <si>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</si>
  <si>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</si>
  <si>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</si>
  <si>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</si>
  <si>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</si>
  <si>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</si>
  <si>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</si>
  <si>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</si>
  <si>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</si>
  <si>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</si>
  <si>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</si>
  <si>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</si>
  <si>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</si>
  <si>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</si>
  <si>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</si>
  <si>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</si>
  <si>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</si>
  <si>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</si>
  <si>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</si>
  <si>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</si>
  <si>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</si>
  <si>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</si>
  <si>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</si>
  <si>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</si>
  <si>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</si>
  <si>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</si>
  <si>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</si>
  <si>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</si>
  <si>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</si>
  <si>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</si>
  <si>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</si>
  <si>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</si>
  <si>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</si>
  <si>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</si>
  <si>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</si>
  <si>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</si>
  <si>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</si>
  <si>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</si>
  <si>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</si>
  <si>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</si>
  <si>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</si>
  <si>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</si>
  <si>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</si>
  <si>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</si>
  <si>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</si>
  <si>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</si>
  <si>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</si>
  <si>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</si>
  <si>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</si>
  <si>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</si>
  <si>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</si>
  <si>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</si>
  <si>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</si>
  <si>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</si>
  <si>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</si>
  <si>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</si>
  <si>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</si>
  <si>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</si>
  <si>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</si>
  <si>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</si>
  <si>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</si>
  <si>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</si>
  <si>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</si>
  <si>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</si>
  <si>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</si>
  <si>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</si>
  <si>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</si>
  <si>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</si>
  <si>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</si>
  <si>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</si>
  <si>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</si>
  <si>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</si>
  <si>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</si>
  <si>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</si>
  <si>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</si>
  <si>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</si>
  <si>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</si>
  <si>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</si>
  <si>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</si>
  <si>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</si>
  <si>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</si>
  <si>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</si>
  <si>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</si>
  <si>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</si>
  <si>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</si>
  <si>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</si>
  <si>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</si>
  <si>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</si>
  <si>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</si>
  <si>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</si>
  <si>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</si>
  <si>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</si>
  <si>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</si>
  <si>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</si>
  <si>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</si>
  <si>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</si>
  <si>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</si>
  <si>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</si>
  <si>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</si>
  <si>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</si>
  <si>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</si>
  <si>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</si>
  <si>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</si>
  <si>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</si>
  <si>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</si>
  <si>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</si>
  <si>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</si>
  <si>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</si>
  <si>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</si>
  <si>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</si>
  <si>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</si>
  <si>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</si>
  <si>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</si>
  <si>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</si>
  <si>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</si>
  <si>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</si>
  <si>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</si>
  <si>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</si>
  <si>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</si>
  <si>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</si>
  <si>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</si>
  <si>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</si>
  <si>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</si>
  <si>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</si>
  <si>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</si>
  <si>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</si>
  <si>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</si>
  <si>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</si>
  <si>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</si>
  <si>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</si>
  <si>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</si>
  <si>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</si>
  <si>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</si>
  <si>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</si>
  <si>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</si>
  <si>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</si>
  <si>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</si>
  <si>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</si>
  <si>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</si>
  <si>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</si>
  <si>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</si>
  <si>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</si>
  <si>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</si>
  <si>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</si>
  <si>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</si>
  <si>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</si>
  <si>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</si>
  <si>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</si>
  <si>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</si>
  <si>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</si>
  <si>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</si>
  <si>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</si>
  <si>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</si>
  <si>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</si>
  <si>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</si>
  <si>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</si>
  <si>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</si>
  <si>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</si>
  <si>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</si>
  <si>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</si>
  <si>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</si>
  <si>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</si>
  <si>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</si>
  <si>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</si>
  <si>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</si>
  <si>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</si>
  <si>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</si>
  <si>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</si>
  <si>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</si>
  <si>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</si>
  <si>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</si>
  <si>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</si>
  <si>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</si>
  <si>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</si>
  <si>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</si>
  <si>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</si>
  <si>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</si>
  <si>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</si>
  <si>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</si>
  <si>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</si>
  <si>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</si>
  <si>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</si>
  <si>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</si>
  <si>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</si>
  <si>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</si>
  <si>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</si>
  <si>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</si>
  <si>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</si>
  <si>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</si>
  <si>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</si>
  <si>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</si>
  <si>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</si>
  <si>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</si>
  <si>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</si>
  <si>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</si>
  <si>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</si>
  <si>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</si>
  <si>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</si>
  <si>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</si>
  <si>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</si>
  <si>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</si>
  <si>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</si>
  <si>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</si>
  <si>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</si>
  <si>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</si>
  <si>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</si>
  <si>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</si>
  <si>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</si>
  <si>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</si>
  <si>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</si>
  <si>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</si>
  <si>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</si>
  <si>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</si>
  <si>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</si>
  <si>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</si>
  <si>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</si>
  <si>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</si>
  <si>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</si>
  <si>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</si>
  <si>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</si>
  <si>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</si>
  <si>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</si>
  <si>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</si>
  <si>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</si>
  <si>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</si>
  <si>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</si>
  <si>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</si>
  <si>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</si>
  <si>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</si>
  <si>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</si>
  <si>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</si>
  <si>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</si>
  <si>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</si>
  <si>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</si>
  <si>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</si>
  <si>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</si>
  <si>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</si>
  <si>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</si>
  <si>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</si>
  <si>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</si>
  <si>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</si>
  <si>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</si>
  <si>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</si>
  <si>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</si>
  <si>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</si>
  <si>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</si>
  <si>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</si>
  <si>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</si>
  <si>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</si>
  <si>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</si>
  <si>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</si>
  <si>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</si>
  <si>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</si>
  <si>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</si>
  <si>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</si>
  <si>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</si>
  <si>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</si>
  <si>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</si>
  <si>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</si>
  <si>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</si>
  <si>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</si>
  <si>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</si>
  <si>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</si>
  <si>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</si>
  <si>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</si>
  <si>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</si>
  <si>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</si>
  <si>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</si>
  <si>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</si>
  <si>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</si>
  <si>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</si>
  <si>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</si>
  <si>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</si>
  <si>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</si>
  <si>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</si>
  <si>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</si>
  <si>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</si>
  <si>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</si>
  <si>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</si>
  <si>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</si>
  <si>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</si>
  <si>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</si>
  <si>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</si>
  <si>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</si>
  <si>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</si>
  <si>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</si>
  <si>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</si>
  <si>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</si>
  <si>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</si>
  <si>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</si>
  <si>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</si>
  <si>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</si>
  <si>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</si>
  <si>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</si>
  <si>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</si>
  <si>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</si>
  <si>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</si>
  <si>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</si>
  <si>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</si>
  <si>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</si>
  <si>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</si>
  <si>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</si>
  <si>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</si>
  <si>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</si>
  <si>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</si>
  <si>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</si>
  <si>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</si>
  <si>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</si>
  <si>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</si>
  <si>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</si>
  <si>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</si>
  <si>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</si>
  <si>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</si>
  <si>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</si>
  <si>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</si>
  <si>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</si>
  <si>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</si>
  <si>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</si>
  <si>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</si>
  <si>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</si>
  <si>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</si>
  <si>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</si>
  <si>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</si>
  <si>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</si>
  <si>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</si>
  <si>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</si>
  <si>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</si>
  <si>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</si>
  <si>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</si>
  <si>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</si>
  <si>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</si>
  <si>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</si>
  <si>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</si>
  <si>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</si>
  <si>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</si>
  <si>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</si>
  <si>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</si>
  <si>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</si>
  <si>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</si>
  <si>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</si>
  <si>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</si>
  <si>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</si>
  <si>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</si>
  <si>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</si>
  <si>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</si>
  <si>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</si>
  <si>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</si>
  <si>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</si>
  <si>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</si>
  <si>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</si>
  <si>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</si>
  <si>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</si>
  <si>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</si>
  <si>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</si>
  <si>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</si>
  <si>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</si>
  <si>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</si>
  <si>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</si>
  <si>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</si>
  <si>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</si>
  <si>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</si>
  <si>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</si>
  <si>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</si>
  <si>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</si>
  <si>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</si>
  <si>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</si>
  <si>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</si>
  <si>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</si>
  <si>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</si>
  <si>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</si>
  <si>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</si>
  <si>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</si>
  <si>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</si>
  <si>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</si>
  <si>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</si>
  <si>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</si>
  <si>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</si>
  <si>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</si>
  <si>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</si>
  <si>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</si>
  <si>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</si>
  <si>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</si>
  <si>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</si>
  <si>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</si>
  <si>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</si>
  <si>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</si>
  <si>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</si>
  <si>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</si>
  <si>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</si>
  <si>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</si>
  <si>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</si>
  <si>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</si>
  <si>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</si>
  <si>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</si>
  <si>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</si>
  <si>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</si>
  <si>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</si>
  <si>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</si>
  <si>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</si>
  <si>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</si>
  <si>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</si>
  <si>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</si>
  <si>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</si>
  <si>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</si>
  <si>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</si>
  <si>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</si>
  <si>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</si>
  <si>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</si>
  <si>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</si>
  <si>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</si>
  <si>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</si>
  <si>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</si>
  <si>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</si>
  <si>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</si>
  <si>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</si>
  <si>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</si>
  <si>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</si>
  <si>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</si>
  <si>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</si>
  <si>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</si>
  <si>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</si>
  <si>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</si>
  <si>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</si>
  <si>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</si>
  <si>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</si>
  <si>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</si>
  <si>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</si>
  <si>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</si>
  <si>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</si>
  <si>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</si>
  <si>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</si>
  <si>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</si>
  <si>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</si>
  <si>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</si>
  <si>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</si>
  <si>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</si>
  <si>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</si>
  <si>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</si>
  <si>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</si>
  <si>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</si>
  <si>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</si>
  <si>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</si>
  <si>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</si>
  <si>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</si>
  <si>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</si>
  <si>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</si>
  <si>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</si>
  <si>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</si>
  <si>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</si>
  <si>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</si>
  <si>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</si>
  <si>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</si>
  <si>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</si>
  <si>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</si>
  <si>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</si>
  <si>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</si>
  <si>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</si>
  <si>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</si>
  <si>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</si>
  <si>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</si>
  <si>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</si>
  <si>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</si>
  <si>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</si>
  <si>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</si>
  <si>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</si>
  <si>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</si>
  <si>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</si>
  <si>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</si>
  <si>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</si>
  <si>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</si>
  <si>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</si>
  <si>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</si>
  <si>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</si>
  <si>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</si>
  <si>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</si>
  <si>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</si>
  <si>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</si>
  <si>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</si>
  <si>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</si>
  <si>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</si>
  <si>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</si>
  <si>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</si>
  <si>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</si>
  <si>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</si>
  <si>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</si>
  <si>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</si>
  <si>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</si>
  <si>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</si>
  <si>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</si>
  <si>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</si>
  <si>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</si>
  <si>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</si>
  <si>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</si>
  <si>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</si>
  <si>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</si>
  <si>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</si>
  <si>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</si>
  <si>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</si>
  <si>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</si>
  <si>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</si>
  <si>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</si>
  <si>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</si>
  <si>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</si>
  <si>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</si>
  <si>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</si>
  <si>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</si>
  <si>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</si>
  <si>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</si>
  <si>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</si>
  <si>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</si>
  <si>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</si>
  <si>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</si>
  <si>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</si>
  <si>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</si>
  <si>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</si>
  <si>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</si>
  <si>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</si>
  <si>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</si>
  <si>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</si>
  <si>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</si>
  <si>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</si>
  <si>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</si>
  <si>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</si>
  <si>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</si>
  <si>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</si>
  <si>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</si>
  <si>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</si>
  <si>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</si>
  <si>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</si>
  <si>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</si>
  <si>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</si>
  <si>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</si>
  <si>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</si>
  <si>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</si>
  <si>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</si>
  <si>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</si>
  <si>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</si>
  <si>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</si>
  <si>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</si>
  <si>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</si>
  <si>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</si>
  <si>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</si>
  <si>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</si>
  <si>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</si>
  <si>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</si>
  <si>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</si>
  <si>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</si>
  <si>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</si>
  <si>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</si>
  <si>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</si>
  <si>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</si>
  <si>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</si>
  <si>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</si>
  <si>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</si>
  <si>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</si>
  <si>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</si>
  <si>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</si>
  <si>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</si>
  <si>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</si>
  <si>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</si>
  <si>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</si>
  <si>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</si>
  <si>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</si>
  <si>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</si>
  <si>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</si>
  <si>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</si>
  <si>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</si>
  <si>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</si>
  <si>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</si>
  <si>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</si>
  <si>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</si>
  <si>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</si>
  <si>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</si>
  <si>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</si>
  <si>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</si>
  <si>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</si>
  <si>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</si>
  <si>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</si>
  <si>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</si>
  <si>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</si>
  <si>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</si>
  <si>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</si>
  <si>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</si>
  <si>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</si>
  <si>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</si>
  <si>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</si>
  <si>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</si>
  <si>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</si>
  <si>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</si>
  <si>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</si>
  <si>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</si>
  <si>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</si>
  <si>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</si>
  <si>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</si>
  <si>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</si>
  <si>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</si>
  <si>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</si>
  <si>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</si>
  <si>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</si>
  <si>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</si>
  <si>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</si>
  <si>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</si>
  <si>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</si>
  <si>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</si>
  <si>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</si>
  <si>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</si>
  <si>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</si>
  <si>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</si>
  <si>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</si>
  <si>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</si>
  <si>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</si>
  <si>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</si>
  <si>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</si>
  <si>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</si>
  <si>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</si>
  <si>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</si>
  <si>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</si>
  <si>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</si>
  <si>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</si>
  <si>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</si>
  <si>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</si>
  <si>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</si>
  <si>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</si>
  <si>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</si>
  <si>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</si>
  <si>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</si>
  <si>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</si>
  <si>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</si>
  <si>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</si>
  <si>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</si>
  <si>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</si>
  <si>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</si>
  <si>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</si>
  <si>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</si>
  <si>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</si>
  <si>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</si>
  <si>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</si>
  <si>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</si>
  <si>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</si>
  <si>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</si>
  <si>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</si>
  <si>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</si>
  <si>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</si>
  <si>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</si>
  <si>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</si>
  <si>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</si>
  <si>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</si>
  <si>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</si>
  <si>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</si>
  <si>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</si>
  <si>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</si>
  <si>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</si>
  <si>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</si>
  <si>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</si>
  <si>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</si>
  <si>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</si>
  <si>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</si>
  <si>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</si>
  <si>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</si>
  <si>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</si>
  <si>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</si>
  <si>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</si>
  <si>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</si>
  <si>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</si>
  <si>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</si>
  <si>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</si>
  <si>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</si>
  <si>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</si>
  <si>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</si>
  <si>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</si>
  <si>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</si>
  <si>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</si>
  <si>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</si>
  <si>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</si>
  <si>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</si>
  <si>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</si>
  <si>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</si>
  <si>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</si>
  <si>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</si>
  <si>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</si>
  <si>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</si>
  <si>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</si>
  <si>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</si>
  <si>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</si>
  <si>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</si>
  <si>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</si>
  <si>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</si>
  <si>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</si>
  <si>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</si>
  <si>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</si>
  <si>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</si>
  <si>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</si>
  <si>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</si>
  <si>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</si>
  <si>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</si>
  <si>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</si>
  <si>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</si>
  <si>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</si>
  <si>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</si>
  <si>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</si>
  <si>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</si>
  <si>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</si>
  <si>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</si>
  <si>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</si>
  <si>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</si>
  <si>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</si>
  <si>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</si>
  <si>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</si>
  <si>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</si>
  <si>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</si>
  <si>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</si>
  <si>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</si>
  <si>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</si>
  <si>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</si>
  <si>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</si>
  <si>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</si>
  <si>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</si>
  <si>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</si>
  <si>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</si>
  <si>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</si>
  <si>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</si>
  <si>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</si>
  <si>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</si>
  <si>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</si>
  <si>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</si>
  <si>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</si>
  <si>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</si>
  <si>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</si>
  <si>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</si>
  <si>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</si>
  <si>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</si>
  <si>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</si>
  <si>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</si>
  <si>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</si>
  <si>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</si>
  <si>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</si>
  <si>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</si>
  <si>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</si>
  <si>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</si>
  <si>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</si>
  <si>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</si>
  <si>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</si>
  <si>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</si>
  <si>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</si>
  <si>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</si>
  <si>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</si>
  <si>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</si>
  <si>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</si>
  <si>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</si>
  <si>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</si>
  <si>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</si>
  <si>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</si>
  <si>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</si>
  <si>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</si>
  <si>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</si>
  <si>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</si>
  <si>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</si>
  <si>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</si>
  <si>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</si>
  <si>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</si>
  <si>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</si>
  <si>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</si>
  <si>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</si>
  <si>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</si>
  <si>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</si>
  <si>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</si>
  <si>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</si>
  <si>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</si>
  <si>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</si>
  <si>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</si>
  <si>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</si>
  <si>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</si>
  <si>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</si>
  <si>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</si>
  <si>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</si>
  <si>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</si>
  <si>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</si>
  <si>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</si>
  <si>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</si>
  <si>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</si>
  <si>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</si>
  <si>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</si>
  <si>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</si>
  <si>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</si>
  <si>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</si>
  <si>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</si>
  <si>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</si>
  <si>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</si>
  <si>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</si>
  <si>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</si>
  <si>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</si>
  <si>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</si>
  <si>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</si>
  <si>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</si>
  <si>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</si>
  <si>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</si>
  <si>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</si>
  <si>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</si>
  <si>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</si>
  <si>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</si>
  <si>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</si>
  <si>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</si>
  <si>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</si>
  <si>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</si>
  <si>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</si>
  <si>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</si>
  <si>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</si>
  <si>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</si>
  <si>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</si>
  <si>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</si>
  <si>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</si>
  <si>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</si>
  <si>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</si>
  <si>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</si>
  <si>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</si>
  <si>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</si>
  <si>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</si>
  <si>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</si>
  <si>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</si>
  <si>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</si>
  <si>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</si>
  <si>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</si>
  <si>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</si>
  <si>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</si>
  <si>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</si>
  <si>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</si>
  <si>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</si>
  <si>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</si>
  <si>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</si>
  <si>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</si>
  <si>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</si>
  <si>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</si>
  <si>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</si>
  <si>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</si>
  <si>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</si>
  <si>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</si>
  <si>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</si>
  <si>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</si>
  <si>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</si>
  <si>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</si>
  <si>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</si>
  <si>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</si>
  <si>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</si>
  <si>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</si>
  <si>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</si>
  <si>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</si>
  <si>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</si>
  <si>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</si>
  <si>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</si>
  <si>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</si>
  <si>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</si>
  <si>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</si>
  <si>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</si>
  <si>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</si>
  <si>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</si>
  <si>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</si>
  <si>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</si>
  <si>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</si>
  <si>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</si>
  <si>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</si>
  <si>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</si>
  <si>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</si>
  <si>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</si>
  <si>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</si>
  <si>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</si>
  <si>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</si>
  <si>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</si>
  <si>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</si>
  <si>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</si>
  <si>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</si>
  <si>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</si>
  <si>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</si>
  <si>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</si>
  <si>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</si>
  <si>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</si>
  <si>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</si>
  <si>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</si>
  <si>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</si>
  <si>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</si>
  <si>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</si>
  <si>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</si>
  <si>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</si>
  <si>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</si>
  <si>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</si>
  <si>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</si>
  <si>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</si>
  <si>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</si>
  <si>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</si>
  <si>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</si>
  <si>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</si>
  <si>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</si>
  <si>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</si>
  <si>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</si>
  <si>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</si>
  <si>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</si>
  <si>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</si>
  <si>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</si>
  <si>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</si>
  <si>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</si>
  <si>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</si>
  <si>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</si>
  <si>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</si>
  <si>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</si>
  <si>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</si>
  <si>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</si>
  <si>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</si>
  <si>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</si>
  <si>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</si>
  <si>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</si>
  <si>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</si>
  <si>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</si>
  <si>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</si>
  <si>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</si>
  <si>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</si>
  <si>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</si>
  <si>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</si>
  <si>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</si>
  <si>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</si>
  <si>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</si>
  <si>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</si>
  <si>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</si>
  <si>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</si>
  <si>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</si>
  <si>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</si>
  <si>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</si>
  <si>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</si>
  <si>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</si>
  <si>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</si>
  <si>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</si>
  <si>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</si>
  <si>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</si>
  <si>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</si>
  <si>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</si>
  <si>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</si>
  <si>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</si>
  <si>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</si>
  <si>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</si>
  <si>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</si>
  <si>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</si>
  <si>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</si>
  <si>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</si>
  <si>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</si>
  <si>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</si>
  <si>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</si>
  <si>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</si>
  <si>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</si>
  <si>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</si>
  <si>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</si>
  <si>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</si>
  <si>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</si>
  <si>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</si>
  <si>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</si>
  <si>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</si>
  <si>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</si>
  <si>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</si>
  <si>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</si>
  <si>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</si>
  <si>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</si>
  <si>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</si>
  <si>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</si>
  <si>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</si>
  <si>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</si>
  <si>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</si>
  <si>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</si>
  <si>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</si>
  <si>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</si>
  <si>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</si>
  <si>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</si>
  <si>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</si>
  <si>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</si>
  <si>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</si>
  <si>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</si>
  <si>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</si>
  <si>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</si>
  <si>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</si>
  <si>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</si>
  <si>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</si>
  <si>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</si>
  <si>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</si>
  <si>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</si>
  <si>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</si>
  <si>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</si>
  <si>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</si>
  <si>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</si>
  <si>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</si>
  <si>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</si>
  <si>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</si>
  <si>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</si>
  <si>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</si>
  <si>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</si>
  <si>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</si>
  <si>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</si>
  <si>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</si>
  <si>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</si>
  <si>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</si>
  <si>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</si>
  <si>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</si>
  <si>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</si>
  <si>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</si>
  <si>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</si>
  <si>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</si>
  <si>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</si>
  <si>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</si>
  <si>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</si>
  <si>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</si>
  <si>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</si>
  <si>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</si>
  <si>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</si>
  <si>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</si>
  <si>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</si>
  <si>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</si>
  <si>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</si>
  <si>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</si>
  <si>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</si>
  <si>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</si>
  <si>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</si>
  <si>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</si>
  <si>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</si>
  <si>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</si>
  <si>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</si>
  <si>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</si>
  <si>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</si>
  <si>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</si>
  <si>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</si>
  <si>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</si>
  <si>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</si>
  <si>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</si>
  <si>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</si>
  <si>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</si>
  <si>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</si>
  <si>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</si>
  <si>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</si>
  <si>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</si>
  <si>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</si>
  <si>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</si>
  <si>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</si>
  <si>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</si>
  <si>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</si>
  <si>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</si>
  <si>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</si>
  <si>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</si>
  <si>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</si>
  <si>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</si>
  <si>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</si>
  <si>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</si>
  <si>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</si>
  <si>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</si>
  <si>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</si>
  <si>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</si>
  <si>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</si>
  <si>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</si>
  <si>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</si>
  <si>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</si>
  <si>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</si>
  <si>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</si>
  <si>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</si>
  <si>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</si>
  <si>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</si>
  <si>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</si>
  <si>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</si>
  <si>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</si>
  <si>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</si>
  <si>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</si>
  <si>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</si>
  <si>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</si>
  <si>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</si>
  <si>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</si>
  <si>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</si>
  <si>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</si>
  <si>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</si>
  <si>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</si>
  <si>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</si>
  <si>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</si>
  <si>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</si>
  <si>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</si>
  <si>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</si>
  <si>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</si>
  <si>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</si>
  <si>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</si>
  <si>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</si>
  <si>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</si>
  <si>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</si>
  <si>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</si>
  <si>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</si>
  <si>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</si>
  <si>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</si>
  <si>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</si>
  <si>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</si>
  <si>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</si>
  <si>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</si>
  <si>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</si>
  <si>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</si>
  <si>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</si>
  <si>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</si>
  <si>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</si>
  <si>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</si>
  <si>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</si>
  <si>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</si>
  <si>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</si>
  <si>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</si>
  <si>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</si>
  <si>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</si>
  <si>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</si>
  <si>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</si>
  <si>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</si>
  <si>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</si>
  <si>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</si>
  <si>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</si>
  <si>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</si>
  <si>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</si>
  <si>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</si>
  <si>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</si>
  <si>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</si>
  <si>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</si>
  <si>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</si>
  <si>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</si>
  <si>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</si>
  <si>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</si>
  <si>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</si>
  <si>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</si>
  <si>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</si>
  <si>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</si>
  <si>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</si>
  <si>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</si>
  <si>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</si>
  <si>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</si>
  <si>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</si>
  <si>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</si>
  <si>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</si>
  <si>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</si>
  <si>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</si>
  <si>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</si>
  <si>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</si>
  <si>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</si>
  <si>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</si>
  <si>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</si>
  <si>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</si>
  <si>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</si>
  <si>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</si>
  <si>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</si>
  <si>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</si>
  <si>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</si>
  <si>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</si>
  <si>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</si>
  <si>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</si>
  <si>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</si>
  <si>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</si>
  <si>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</si>
  <si>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</si>
  <si>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</si>
  <si>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</si>
  <si>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</si>
  <si>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</si>
  <si>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</si>
  <si>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</si>
  <si>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</si>
  <si>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</si>
  <si>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</si>
  <si>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</si>
  <si>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</si>
  <si>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</si>
  <si>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</si>
  <si>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</si>
  <si>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</si>
  <si>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</si>
  <si>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</si>
  <si>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</si>
  <si>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</si>
  <si>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</si>
  <si>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</si>
  <si>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</si>
  <si>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</si>
  <si>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</si>
  <si>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</si>
  <si>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</si>
  <si>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</si>
  <si>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</si>
  <si>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</si>
  <si>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</si>
  <si>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</si>
  <si>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</si>
  <si>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</si>
  <si>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</si>
  <si>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</si>
  <si>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</si>
  <si>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</si>
  <si>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</si>
  <si>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</si>
  <si>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</si>
  <si>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</si>
  <si>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</si>
  <si>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</si>
  <si>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</si>
  <si>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</si>
  <si>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</si>
  <si>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</si>
  <si>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</si>
  <si>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</si>
  <si>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</si>
  <si>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</si>
  <si>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</si>
  <si>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</si>
  <si>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</si>
  <si>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</si>
  <si>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</si>
  <si>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</si>
  <si>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</si>
  <si>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</si>
  <si>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</si>
  <si>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</si>
  <si>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</si>
  <si>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</si>
  <si>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</si>
  <si>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</si>
  <si>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</si>
  <si>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</si>
  <si>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</si>
  <si>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</si>
  <si>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</si>
  <si>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</si>
  <si>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</si>
  <si>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</si>
  <si>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</si>
  <si>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</si>
  <si>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</si>
  <si>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</si>
  <si>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</si>
  <si>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</si>
  <si>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</si>
  <si>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</si>
  <si>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</si>
  <si>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</si>
  <si>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</si>
  <si>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</si>
  <si>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</si>
  <si>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</si>
  <si>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</si>
  <si>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</si>
  <si>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</si>
  <si>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</si>
  <si>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</si>
  <si>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</si>
  <si>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</si>
  <si>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</si>
  <si>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</si>
  <si>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</si>
  <si>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</si>
  <si>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</si>
  <si>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</si>
  <si>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</si>
  <si>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</si>
  <si>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</si>
  <si>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</si>
  <si>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</si>
  <si>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</si>
  <si>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</si>
  <si>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</si>
  <si>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</si>
  <si>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</si>
  <si>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</si>
  <si>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</si>
  <si>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</si>
  <si>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</si>
  <si>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</si>
  <si>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</si>
  <si>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</si>
  <si>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</si>
  <si>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</si>
  <si>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</si>
  <si>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</si>
  <si>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</si>
  <si>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</si>
  <si>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</si>
  <si>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</si>
  <si>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</si>
  <si>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</si>
  <si>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</si>
  <si>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</si>
  <si>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</si>
  <si>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</si>
  <si>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</si>
  <si>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</si>
  <si>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</si>
  <si>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</si>
  <si>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</si>
  <si>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</si>
  <si>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</si>
  <si>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</si>
  <si>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</si>
  <si>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</si>
  <si>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</si>
  <si>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</si>
  <si>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</si>
  <si>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</si>
  <si>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</si>
  <si>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</si>
  <si>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</si>
  <si>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</si>
  <si>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</si>
  <si>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</si>
  <si>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</si>
  <si>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</si>
  <si>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</si>
  <si>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</si>
  <si>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</si>
  <si>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</si>
  <si>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</si>
  <si>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</si>
  <si>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</si>
  <si>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</si>
  <si>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</si>
  <si>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</si>
  <si>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</si>
  <si>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</si>
  <si>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</si>
  <si>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</si>
  <si>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</si>
  <si>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</si>
  <si>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</si>
  <si>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</si>
  <si>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</si>
  <si>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</si>
  <si>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</si>
  <si>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</si>
  <si>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</si>
  <si>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</si>
  <si>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</si>
  <si>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</si>
  <si>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</si>
  <si>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</si>
  <si>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</si>
  <si>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</si>
  <si>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</si>
  <si>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</si>
  <si>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</si>
  <si>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</si>
  <si>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</si>
  <si>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</si>
  <si>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</si>
  <si>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</si>
  <si>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</si>
  <si>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</si>
  <si>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</si>
  <si>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</si>
  <si>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</si>
  <si>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</si>
  <si>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</si>
  <si>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</si>
  <si>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</si>
  <si>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</si>
  <si>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</si>
  <si>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</si>
  <si>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</si>
  <si>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</si>
  <si>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</si>
  <si>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</si>
  <si>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</si>
  <si>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</si>
  <si>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</si>
  <si>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</si>
  <si>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</si>
  <si>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</si>
  <si>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</si>
  <si>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</si>
  <si>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</si>
  <si>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</si>
  <si>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</si>
  <si>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</si>
  <si>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</si>
  <si>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</si>
  <si>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</si>
  <si>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</si>
  <si>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</si>
  <si>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</si>
  <si>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</si>
  <si>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</si>
  <si>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</si>
  <si>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</si>
  <si>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</si>
  <si>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</si>
  <si>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</si>
  <si>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</si>
  <si>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</si>
  <si>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</si>
  <si>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</si>
  <si>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</si>
  <si>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</si>
  <si>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</si>
  <si>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</si>
  <si>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</si>
  <si>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</si>
  <si>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</si>
  <si>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</si>
  <si>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</si>
  <si>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</si>
  <si>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</si>
  <si>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</si>
  <si>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</si>
  <si>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</si>
  <si>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</si>
  <si>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</si>
  <si>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</si>
  <si>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</si>
  <si>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</si>
  <si>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</si>
  <si>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</si>
  <si>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</si>
  <si>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</si>
  <si>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</si>
  <si>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</si>
  <si>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</si>
  <si>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</si>
  <si>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</si>
  <si>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</si>
  <si>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</si>
  <si>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</si>
  <si>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</si>
  <si>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</si>
  <si>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</si>
  <si>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</si>
  <si>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</si>
  <si>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</si>
  <si>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</si>
  <si>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</si>
  <si>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</si>
  <si>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</si>
  <si>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</si>
  <si>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</si>
  <si>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</si>
  <si>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</si>
  <si>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</si>
  <si>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</si>
  <si>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</si>
  <si>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</si>
  <si>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</si>
  <si>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</si>
  <si>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</si>
  <si>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</si>
  <si>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</si>
  <si>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</si>
  <si>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</si>
  <si>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</si>
  <si>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</si>
  <si>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</si>
  <si>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</si>
  <si>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</si>
  <si>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</si>
  <si>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</si>
  <si>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</si>
  <si>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</si>
  <si>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</si>
  <si>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</si>
  <si>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</si>
  <si>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</si>
  <si>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</si>
  <si>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</si>
  <si>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</si>
  <si>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</si>
  <si>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</si>
  <si>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</si>
  <si>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</si>
  <si>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</si>
  <si>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</si>
  <si>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</si>
  <si>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</si>
  <si>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</si>
  <si>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</si>
  <si>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</si>
  <si>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</si>
  <si>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</si>
  <si>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</si>
  <si>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</si>
  <si>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</si>
  <si>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</si>
  <si>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</si>
  <si>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</si>
  <si>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</si>
  <si>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</si>
  <si>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</si>
  <si>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</si>
  <si>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</si>
  <si>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</si>
  <si>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</si>
  <si>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</si>
  <si>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</si>
  <si>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</si>
  <si>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</si>
  <si>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</si>
  <si>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</si>
  <si>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</si>
  <si>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</si>
  <si>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</si>
  <si>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</si>
  <si>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</si>
  <si>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</si>
  <si>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</si>
  <si>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</si>
  <si>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</si>
  <si>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</si>
  <si>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</si>
  <si>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</si>
  <si>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</si>
  <si>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</si>
  <si>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</si>
  <si>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</si>
  <si>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</si>
  <si>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</si>
  <si>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</si>
  <si>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</si>
  <si>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</si>
  <si>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</si>
  <si>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</si>
  <si>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</si>
  <si>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</si>
  <si>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</si>
  <si>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</si>
  <si>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</si>
  <si>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</si>
  <si>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</si>
  <si>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</si>
  <si>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</si>
  <si>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</si>
  <si>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</si>
  <si>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</si>
  <si>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</si>
  <si>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</si>
  <si>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</si>
  <si>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</si>
  <si>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</si>
  <si>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</si>
  <si>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</si>
  <si>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</si>
  <si>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</si>
  <si>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</si>
  <si>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</si>
  <si>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</si>
  <si>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</si>
  <si>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</si>
  <si>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</si>
  <si>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</si>
  <si>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</si>
  <si>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</si>
  <si>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</si>
  <si>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</si>
  <si>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</si>
  <si>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</si>
  <si>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</si>
  <si>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</si>
  <si>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</si>
  <si>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</si>
  <si>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</si>
  <si>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</si>
  <si>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</si>
  <si>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</si>
  <si>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</si>
  <si>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</si>
  <si>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</si>
  <si>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</si>
  <si>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</si>
  <si>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</si>
  <si>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</si>
  <si>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</si>
  <si>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</si>
  <si>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</si>
  <si>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</si>
  <si>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</si>
  <si>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</si>
  <si>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</si>
  <si>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</si>
  <si>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</si>
  <si>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</si>
  <si>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</si>
  <si>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</si>
  <si>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</si>
  <si>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</si>
  <si>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</si>
  <si>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</si>
  <si>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</si>
  <si>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</si>
  <si>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</si>
  <si>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</si>
  <si>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</si>
  <si>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</si>
  <si>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</si>
  <si>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</si>
  <si>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</si>
  <si>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</si>
  <si>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</si>
  <si>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</si>
  <si>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</si>
  <si>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</si>
  <si>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</si>
  <si>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</si>
  <si>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</si>
  <si>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</si>
  <si>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</si>
  <si>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</si>
  <si>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</si>
  <si>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</si>
  <si>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</si>
  <si>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</si>
  <si>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</si>
  <si>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</si>
  <si>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</si>
  <si>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</si>
  <si>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</si>
  <si>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</si>
  <si>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</si>
  <si>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</si>
  <si>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</si>
  <si>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</si>
  <si>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</si>
  <si>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</si>
  <si>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</si>
  <si>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</si>
  <si>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</si>
  <si>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</si>
  <si>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</si>
  <si>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</si>
  <si>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</si>
  <si>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</si>
  <si>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</si>
  <si>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</si>
  <si>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</si>
  <si>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</si>
  <si>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</si>
  <si>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</si>
  <si>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</si>
  <si>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</si>
  <si>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</si>
  <si>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</si>
  <si>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</si>
  <si>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</si>
  <si>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</si>
  <si>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</si>
  <si>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</si>
  <si>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</si>
  <si>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</si>
  <si>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</si>
  <si>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</si>
  <si>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</si>
  <si>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</si>
  <si>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</si>
  <si>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</si>
  <si>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</si>
  <si>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</si>
  <si>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</si>
  <si>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</si>
  <si>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</si>
  <si>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</si>
  <si>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</si>
  <si>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</si>
  <si>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</si>
  <si>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</si>
  <si>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</si>
  <si>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</si>
  <si>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</si>
  <si>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</si>
  <si>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</si>
  <si>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</si>
  <si>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</si>
  <si>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</si>
  <si>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</si>
  <si>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</si>
  <si>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</si>
  <si>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</si>
  <si>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</si>
  <si>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</si>
  <si>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</si>
  <si>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</si>
  <si>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</si>
  <si>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</si>
  <si>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</si>
  <si>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</si>
  <si>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</si>
  <si>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</si>
  <si>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</si>
  <si>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</si>
  <si>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</si>
  <si>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</si>
  <si>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</si>
  <si>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</si>
  <si>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</si>
  <si>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</si>
  <si>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</si>
  <si>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</si>
  <si>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</si>
  <si>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</si>
  <si>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</si>
  <si>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</si>
  <si>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</si>
  <si>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</si>
  <si>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</si>
  <si>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</si>
  <si>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</si>
  <si>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</si>
  <si>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</si>
  <si>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</si>
  <si>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</si>
  <si>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</si>
  <si>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</si>
  <si>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</si>
  <si>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</si>
  <si>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</si>
  <si>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</si>
  <si>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</si>
  <si>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</si>
  <si>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</si>
  <si>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</si>
  <si>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</si>
  <si>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</si>
  <si>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</si>
  <si>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</si>
  <si>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</si>
  <si>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</si>
  <si>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</si>
  <si>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</si>
  <si>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</si>
  <si>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</si>
  <si>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</si>
  <si>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</si>
  <si>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</si>
  <si>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</si>
  <si>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</si>
  <si>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</si>
  <si>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</si>
  <si>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</si>
  <si>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</si>
  <si>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</si>
  <si>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</si>
  <si>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</si>
  <si>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</si>
  <si>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</si>
  <si>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</si>
  <si>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</si>
  <si>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</si>
  <si>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</si>
  <si>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</si>
  <si>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</si>
  <si>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</si>
  <si>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</si>
  <si>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</si>
  <si>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</si>
  <si>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</si>
  <si>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</si>
  <si>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</si>
  <si>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</si>
  <si>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</si>
  <si>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</si>
  <si>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</si>
  <si>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</si>
  <si>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</si>
  <si>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</si>
  <si>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</si>
  <si>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</si>
  <si>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</si>
  <si>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</si>
  <si>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</si>
  <si>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</si>
  <si>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</si>
  <si>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</si>
  <si>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</si>
  <si>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</si>
  <si>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</si>
  <si>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</si>
  <si>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</si>
  <si>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</si>
  <si>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</si>
  <si>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</si>
  <si>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</si>
  <si>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</si>
  <si>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</si>
  <si>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</si>
  <si>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</si>
  <si>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</si>
  <si>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</si>
  <si>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</si>
  <si>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</si>
  <si>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</si>
  <si>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</si>
  <si>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</si>
  <si>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</si>
  <si>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</si>
  <si>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</si>
  <si>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</si>
  <si>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</si>
  <si>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</si>
  <si>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</si>
  <si>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</si>
  <si>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</si>
  <si>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</si>
  <si>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</si>
  <si>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</si>
  <si>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</si>
  <si>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</si>
  <si>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</si>
  <si>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</si>
  <si>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</si>
  <si>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</si>
  <si>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</si>
  <si>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</si>
  <si>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</si>
  <si>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</si>
  <si>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</si>
  <si>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</si>
  <si>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</si>
  <si>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</si>
  <si>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</si>
  <si>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</si>
  <si>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</si>
  <si>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</si>
  <si>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</si>
  <si>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</si>
  <si>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</si>
  <si>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</si>
  <si>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</si>
  <si>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</si>
  <si>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</si>
  <si>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</si>
  <si>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</si>
  <si>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</si>
  <si>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</si>
  <si>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</si>
  <si>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</si>
  <si>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</si>
  <si>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</si>
  <si>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</si>
  <si>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</si>
  <si>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</si>
  <si>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</si>
  <si>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</si>
  <si>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</si>
  <si>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</si>
  <si>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</si>
  <si>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</si>
  <si>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</si>
  <si>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</si>
  <si>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</si>
  <si>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</si>
  <si>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</si>
  <si>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</si>
  <si>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</si>
  <si>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</si>
  <si>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</si>
  <si>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</si>
  <si>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</si>
  <si>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</si>
  <si>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</si>
  <si>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</si>
  <si>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</si>
  <si>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</si>
  <si>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</si>
  <si>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</si>
  <si>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</si>
  <si>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</si>
  <si>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</si>
  <si>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</si>
  <si>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</si>
  <si>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</si>
  <si>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</si>
  <si>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</si>
  <si>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</si>
  <si>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</si>
  <si>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</si>
  <si>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</si>
  <si>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</si>
  <si>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</si>
  <si>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</si>
  <si>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</si>
  <si>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</si>
  <si>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</si>
  <si>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</si>
  <si>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</si>
  <si>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</si>
  <si>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</si>
  <si>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</si>
  <si>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</si>
  <si>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</si>
  <si>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</si>
  <si>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</si>
  <si>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</si>
  <si>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</si>
  <si>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</si>
  <si>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</si>
  <si>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</si>
  <si>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</si>
  <si>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</si>
  <si>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</si>
  <si>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</si>
  <si>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</si>
  <si>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</si>
  <si>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</si>
  <si>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</si>
  <si>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</si>
  <si>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</si>
  <si>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</si>
  <si>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</si>
  <si>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</si>
  <si>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</si>
  <si>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</si>
  <si>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</si>
  <si>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</si>
  <si>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</si>
  <si>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</si>
  <si>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</si>
  <si>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</si>
  <si>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</si>
  <si>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</si>
  <si>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</si>
  <si>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</si>
  <si>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</si>
  <si>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</si>
  <si>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</si>
  <si>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</si>
  <si>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</si>
  <si>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</si>
  <si>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</si>
  <si>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</si>
  <si>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</si>
  <si>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</si>
  <si>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</si>
  <si>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</si>
  <si>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</si>
  <si>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</si>
  <si>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</si>
  <si>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</si>
  <si>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</si>
  <si>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</si>
  <si>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</si>
  <si>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</si>
  <si>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</si>
  <si>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</si>
  <si>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</si>
  <si>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</si>
  <si>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</si>
  <si>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</si>
  <si>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</si>
  <si>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</si>
  <si>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</si>
  <si>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</si>
  <si>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</si>
  <si>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</si>
  <si>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</si>
  <si>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</si>
  <si>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</si>
  <si>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</si>
  <si>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</si>
  <si>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</si>
  <si>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</si>
  <si>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</si>
  <si>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</si>
  <si>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</si>
  <si>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</si>
  <si>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</si>
  <si>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</si>
  <si>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</si>
  <si>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</si>
  <si>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</si>
  <si>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</si>
  <si>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</si>
  <si>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</si>
  <si>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</si>
  <si>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</si>
  <si>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</si>
  <si>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</si>
  <si>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</si>
  <si>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</si>
  <si>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</si>
  <si>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</si>
  <si>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</si>
  <si>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</si>
  <si>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</si>
  <si>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</si>
  <si>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</si>
  <si>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</si>
  <si>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</si>
  <si>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</si>
  <si>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</si>
  <si>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</si>
  <si>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</si>
  <si>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</si>
  <si>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</si>
  <si>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</si>
  <si>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</si>
  <si>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</si>
  <si>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</si>
  <si>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</si>
  <si>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</si>
  <si>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</si>
  <si>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</si>
  <si>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</si>
  <si>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</si>
  <si>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</si>
  <si>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</si>
  <si>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</si>
  <si>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</si>
  <si>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</si>
  <si>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</si>
  <si>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</si>
  <si>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</si>
  <si>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</si>
  <si>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</si>
  <si>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</si>
  <si>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</si>
  <si>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</si>
  <si>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</si>
  <si>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</si>
  <si>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</si>
  <si>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</si>
  <si>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</si>
  <si>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</si>
  <si>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</si>
  <si>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</si>
  <si>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</si>
  <si>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</si>
  <si>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</si>
  <si>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</si>
  <si>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</si>
  <si>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</si>
  <si>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</si>
  <si>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</si>
  <si>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</si>
  <si>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</si>
  <si>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</si>
  <si>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</si>
  <si>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</si>
  <si>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</si>
  <si>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</si>
  <si>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</si>
  <si>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</si>
  <si>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</si>
  <si>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</si>
  <si>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</si>
  <si>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</si>
  <si>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</si>
  <si>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</si>
  <si>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</si>
  <si>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</si>
  <si>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</si>
  <si>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</si>
  <si>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</si>
  <si>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</si>
  <si>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</si>
  <si>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</si>
  <si>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</si>
  <si>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</si>
  <si>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</si>
  <si>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</si>
  <si>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</si>
  <si>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</si>
  <si>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</si>
  <si>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</si>
  <si>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</si>
  <si>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</si>
  <si>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</si>
  <si>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</si>
  <si>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</si>
  <si>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</si>
  <si>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</si>
  <si>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</si>
  <si>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</si>
  <si>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</si>
  <si>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</si>
  <si>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</si>
  <si>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</si>
  <si>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</si>
  <si>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</si>
  <si>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</si>
  <si>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</si>
  <si>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</si>
  <si>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</si>
  <si>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</si>
  <si>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</si>
  <si>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</si>
  <si>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</si>
  <si>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</si>
  <si>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</si>
  <si>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</si>
  <si>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</si>
  <si>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</si>
  <si>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</si>
  <si>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</si>
  <si>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</si>
  <si>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</si>
  <si>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</si>
  <si>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</si>
  <si>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</si>
  <si>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</si>
  <si>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</si>
  <si>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</si>
  <si>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</si>
  <si>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</si>
  <si>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</si>
  <si>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</si>
  <si>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</si>
  <si>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</si>
  <si>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</si>
  <si>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</si>
  <si>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</si>
  <si>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</si>
  <si>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</si>
  <si>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</si>
  <si>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</si>
  <si>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</si>
  <si>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</si>
  <si>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</si>
  <si>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</si>
  <si>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</si>
  <si>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</si>
  <si>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</si>
  <si>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</si>
  <si>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</si>
  <si>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</si>
  <si>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</si>
  <si>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</si>
  <si>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</si>
  <si>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</si>
  <si>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</si>
  <si>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</si>
  <si>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</si>
  <si>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</si>
  <si>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</si>
  <si>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</si>
  <si>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</si>
  <si>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</si>
  <si>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</si>
  <si>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</si>
  <si>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</si>
  <si>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</si>
  <si>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</si>
  <si>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</si>
  <si>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</si>
  <si>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</si>
  <si>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</si>
  <si>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</si>
  <si>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</si>
  <si>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</si>
  <si>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</si>
  <si>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</si>
  <si>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</si>
  <si>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</si>
  <si>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</si>
  <si>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</si>
  <si>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</si>
  <si>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</si>
  <si>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</si>
  <si>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</si>
  <si>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</si>
  <si>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</si>
  <si>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</si>
  <si>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</si>
  <si>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</si>
  <si>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</si>
  <si>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</si>
  <si>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</si>
  <si>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</si>
  <si>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</si>
  <si>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</si>
  <si>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</si>
  <si>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</si>
  <si>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</si>
  <si>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</si>
  <si>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</si>
  <si>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</si>
  <si>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</si>
  <si>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</si>
  <si>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</si>
  <si>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</si>
  <si>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</si>
  <si>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</si>
  <si>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</si>
  <si>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</si>
  <si>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</si>
  <si>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</si>
  <si>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</si>
  <si>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</si>
  <si>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</si>
  <si>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</si>
  <si>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</si>
  <si>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</si>
  <si>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</si>
  <si>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</si>
  <si>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</si>
  <si>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</si>
  <si>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</si>
  <si>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</si>
  <si>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</si>
  <si>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</si>
  <si>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</si>
  <si>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</si>
  <si>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</si>
  <si>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</si>
  <si>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</si>
  <si>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</si>
  <si>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</si>
  <si>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</si>
  <si>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</si>
  <si>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</si>
  <si>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</si>
  <si>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</si>
  <si>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</si>
  <si>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</si>
  <si>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</si>
  <si>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</si>
  <si>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</si>
  <si>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</si>
  <si>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</si>
  <si>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</si>
  <si>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</si>
  <si>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</si>
  <si>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</si>
  <si>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</si>
  <si>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</si>
  <si>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</si>
  <si>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</si>
  <si>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</si>
  <si>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</si>
  <si>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</si>
  <si>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</si>
  <si>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</si>
  <si>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</si>
  <si>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</si>
  <si>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</si>
  <si>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</si>
  <si>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</si>
  <si>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</si>
  <si>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</si>
  <si>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</si>
  <si>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</si>
  <si>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</si>
  <si>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</si>
  <si>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</si>
  <si>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</si>
  <si>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</si>
  <si>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</si>
  <si>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</si>
  <si>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</si>
  <si>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</si>
  <si>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</si>
  <si>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</si>
  <si>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</si>
  <si>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</si>
  <si>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</si>
  <si>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</si>
  <si>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</si>
  <si>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</si>
  <si>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</si>
  <si>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</si>
  <si>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</si>
  <si>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</si>
  <si>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</si>
  <si>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</si>
  <si>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</si>
  <si>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</si>
  <si>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</si>
  <si>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</si>
  <si>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</si>
  <si>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</si>
  <si>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</si>
  <si>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</si>
  <si>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</si>
  <si>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</si>
  <si>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</si>
  <si>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</si>
  <si>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</si>
  <si>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</si>
  <si>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</si>
  <si>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</si>
  <si>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</si>
  <si>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</si>
  <si>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</si>
  <si>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</si>
  <si>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</si>
  <si>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</si>
  <si>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</si>
  <si>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</si>
  <si>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</si>
  <si>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</si>
  <si>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</si>
  <si>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</si>
  <si>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</si>
  <si>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</si>
  <si>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</si>
  <si>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</si>
  <si>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</si>
  <si>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</si>
  <si>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</si>
  <si>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</si>
  <si>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</si>
  <si>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</si>
  <si>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</si>
  <si>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</si>
  <si>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</si>
  <si>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</si>
  <si>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</si>
  <si>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</si>
  <si>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</si>
  <si>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</si>
  <si>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</si>
  <si>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</si>
  <si>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</si>
  <si>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</si>
  <si>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</si>
  <si>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</si>
  <si>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</si>
  <si>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</si>
  <si>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</si>
  <si>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</si>
  <si>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</si>
  <si>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</si>
  <si>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</si>
  <si>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</si>
  <si>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</si>
  <si>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</si>
  <si>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</si>
  <si>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</si>
  <si>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</si>
  <si>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</si>
  <si>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</si>
  <si>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</si>
  <si>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</si>
  <si>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</si>
  <si>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</si>
  <si>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</si>
  <si>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</si>
  <si>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</si>
  <si>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</si>
  <si>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</si>
  <si>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</si>
  <si>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</si>
  <si>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</si>
  <si>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</si>
  <si>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</si>
  <si>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</si>
  <si>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</si>
  <si>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</si>
  <si>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</si>
  <si>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</si>
  <si>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</si>
  <si>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</si>
  <si>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</si>
  <si>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</si>
  <si>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</si>
  <si>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</si>
  <si>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</si>
  <si>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</si>
  <si>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</si>
  <si>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</si>
  <si>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</si>
  <si>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</si>
  <si>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</si>
  <si>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</si>
  <si>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</si>
  <si>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</si>
  <si>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</si>
  <si>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</si>
  <si>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</si>
  <si>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</si>
  <si>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</si>
  <si>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</si>
  <si>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</si>
  <si>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</si>
  <si>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</si>
  <si>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</si>
  <si>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</si>
  <si>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</si>
  <si>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</si>
  <si>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</si>
  <si>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</si>
  <si>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</si>
  <si>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</si>
  <si>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</si>
  <si>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</si>
  <si>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</si>
  <si>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</si>
  <si>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</si>
  <si>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</si>
  <si>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</si>
  <si>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</si>
  <si>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</si>
  <si>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</si>
  <si>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</si>
  <si>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</si>
  <si>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</si>
  <si>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</si>
  <si>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</si>
  <si>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</si>
  <si>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</si>
  <si>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</si>
  <si>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</si>
  <si>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</si>
  <si>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</si>
  <si>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</si>
  <si>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</si>
  <si>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</si>
  <si>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</si>
  <si>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</si>
  <si>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</si>
  <si>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</si>
  <si>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</si>
  <si>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</si>
  <si>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</si>
  <si>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</si>
  <si>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</si>
  <si>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</si>
  <si>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</si>
  <si>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</si>
  <si>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</si>
  <si>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</si>
  <si>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</si>
  <si>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</si>
  <si>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</si>
  <si>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</si>
  <si>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</si>
  <si>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</si>
  <si>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</si>
  <si>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</si>
  <si>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</si>
  <si>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</si>
  <si>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</si>
  <si>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</si>
  <si>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</si>
  <si>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</si>
  <si>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</si>
  <si>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</si>
  <si>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</si>
  <si>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</si>
  <si>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</si>
  <si>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</si>
  <si>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</si>
  <si>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</si>
  <si>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</si>
  <si>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</si>
  <si>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</si>
  <si>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</si>
  <si>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</si>
  <si>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</si>
  <si>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</si>
  <si>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</si>
  <si>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</si>
  <si>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</si>
  <si>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</si>
  <si>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</si>
  <si>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</si>
  <si>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</si>
  <si>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</si>
  <si>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</si>
  <si>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</si>
  <si>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</si>
  <si>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</si>
  <si>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</si>
  <si>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</si>
  <si>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</si>
  <si>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</si>
  <si>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</si>
  <si>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</si>
  <si>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</si>
  <si>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</si>
  <si>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</si>
  <si>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</si>
  <si>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</si>
  <si>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</si>
  <si>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</si>
  <si>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</si>
  <si>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</si>
  <si>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</si>
  <si>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</si>
  <si>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</si>
  <si>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</si>
  <si>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</si>
  <si>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</si>
  <si>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</si>
  <si>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</si>
  <si>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</si>
  <si>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</si>
  <si>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</si>
  <si>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</si>
  <si>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</si>
  <si>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</si>
  <si>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</si>
  <si>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</si>
  <si>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</si>
  <si>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</si>
  <si>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</si>
  <si>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</si>
  <si>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</si>
  <si>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</si>
  <si>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</si>
  <si>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</si>
  <si>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</si>
  <si>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</si>
  <si>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</si>
  <si>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</si>
  <si>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</si>
  <si>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</si>
  <si>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</si>
  <si>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</si>
  <si>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</si>
  <si>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</si>
  <si>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</si>
  <si>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</si>
  <si>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</si>
  <si>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</si>
  <si>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</si>
  <si>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</si>
  <si>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</si>
  <si>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</si>
  <si>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</si>
  <si>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</si>
  <si>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</si>
  <si>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</si>
  <si>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</si>
  <si>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</si>
  <si>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</si>
  <si>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</si>
  <si>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</si>
  <si>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</si>
  <si>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</si>
  <si>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</si>
  <si>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</si>
  <si>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</si>
  <si>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</si>
  <si>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</si>
  <si>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</si>
  <si>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</si>
  <si>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</si>
  <si>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</si>
  <si>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</si>
  <si>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</si>
  <si>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</si>
  <si>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</si>
  <si>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</si>
  <si>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</si>
  <si>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</si>
  <si>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</si>
  <si>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</si>
  <si>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</si>
  <si>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</si>
  <si>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</si>
  <si>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</si>
  <si>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</si>
  <si>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</si>
  <si>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</si>
  <si>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</si>
  <si>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</si>
  <si>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</si>
  <si>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</si>
  <si>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</si>
  <si>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</si>
  <si>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</si>
  <si>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</si>
  <si>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</si>
  <si>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</si>
  <si>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</si>
  <si>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</si>
  <si>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</si>
  <si>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</si>
  <si>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</si>
  <si>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</si>
  <si>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</si>
  <si>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</si>
  <si>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</si>
  <si>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</si>
  <si>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</si>
  <si>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</si>
  <si>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</si>
  <si>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</si>
  <si>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</si>
  <si>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</si>
  <si>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</si>
  <si>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</si>
  <si>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</si>
  <si>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</si>
  <si>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</si>
  <si>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</si>
  <si>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</si>
  <si>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</si>
  <si>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</si>
  <si>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</si>
  <si>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</si>
  <si>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</si>
  <si>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</si>
  <si>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</si>
  <si>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</si>
  <si>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</si>
  <si>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</si>
  <si>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</si>
  <si>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</si>
  <si>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</si>
  <si>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</si>
  <si>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</si>
  <si>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</si>
  <si>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</si>
  <si>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</si>
  <si>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</si>
  <si>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</si>
  <si>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</si>
  <si>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</si>
  <si>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</si>
  <si>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</si>
  <si>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</si>
  <si>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</si>
  <si>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</si>
  <si>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</si>
  <si>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</si>
  <si>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</si>
  <si>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</si>
  <si>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</si>
  <si>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</si>
  <si>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</si>
  <si>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</si>
  <si>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</si>
  <si>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</si>
  <si>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</si>
  <si>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</si>
  <si>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</si>
  <si>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</si>
  <si>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</si>
  <si>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</si>
  <si>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</si>
  <si>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</si>
  <si>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</si>
  <si>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</si>
  <si>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</si>
  <si>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</si>
  <si>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</si>
  <si>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</si>
  <si>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</si>
  <si>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</si>
  <si>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</si>
  <si>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</si>
  <si>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</si>
  <si>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</si>
  <si>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</si>
  <si>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</si>
  <si>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</si>
  <si>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</si>
  <si>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</si>
  <si>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</si>
  <si>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</si>
  <si>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</si>
  <si>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</si>
  <si>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</si>
  <si>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</si>
  <si>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</si>
  <si>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</si>
  <si>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</si>
  <si>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</si>
  <si>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</si>
  <si>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</si>
  <si>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</si>
  <si>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</si>
  <si>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</si>
  <si>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</si>
  <si>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</si>
  <si>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</si>
  <si>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</si>
  <si>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</si>
  <si>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</si>
  <si>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</si>
  <si>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</si>
  <si>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</si>
  <si>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</si>
  <si>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</si>
  <si>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</si>
  <si>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</si>
  <si>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</si>
  <si>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</si>
  <si>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</si>
  <si>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</si>
  <si>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</si>
  <si>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</si>
  <si>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</si>
  <si>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</si>
  <si>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</si>
  <si>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</si>
  <si>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</si>
  <si>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</si>
  <si>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</si>
  <si>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</si>
  <si>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</si>
  <si>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</si>
  <si>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</si>
  <si>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</si>
  <si>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</si>
  <si>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</si>
  <si>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</si>
  <si>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</si>
  <si>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</si>
  <si>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</si>
  <si>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</si>
  <si>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</si>
  <si>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</si>
  <si>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</si>
  <si>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</si>
  <si>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</si>
  <si>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</si>
  <si>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</si>
  <si>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</si>
  <si>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</si>
  <si>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</si>
  <si>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</si>
  <si>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</si>
  <si>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</si>
  <si>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</si>
  <si>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</si>
  <si>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</si>
  <si>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</si>
  <si>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</si>
  <si>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</si>
  <si>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</si>
  <si>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</si>
  <si>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</si>
  <si>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</si>
  <si>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</si>
  <si>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</si>
  <si>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</si>
  <si>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</si>
  <si>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</si>
  <si>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</si>
  <si>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</si>
  <si>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</si>
  <si>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</si>
  <si>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</si>
  <si>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</si>
  <si>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</si>
  <si>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</si>
  <si>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</si>
  <si>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</si>
  <si>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</si>
  <si>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</si>
  <si>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</si>
  <si>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</si>
  <si>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</si>
  <si>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</si>
  <si>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</si>
  <si>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</si>
  <si>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</si>
  <si>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</si>
  <si>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</si>
  <si>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</si>
  <si>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</si>
  <si>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</si>
  <si>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</si>
  <si>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</si>
  <si>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</si>
  <si>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</si>
  <si>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</si>
  <si>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</si>
  <si>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</si>
  <si>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</si>
  <si>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</si>
  <si>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</si>
  <si>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</si>
  <si>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</si>
  <si>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</si>
  <si>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</si>
  <si>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</si>
  <si>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</si>
  <si>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</si>
  <si>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</si>
  <si>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</si>
  <si>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</si>
  <si>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</si>
  <si>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</si>
  <si>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</si>
  <si>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</si>
  <si>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</si>
  <si>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</si>
  <si>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</si>
  <si>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</si>
  <si>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</si>
  <si>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</si>
  <si>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</si>
  <si>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</si>
  <si>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</si>
  <si>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</si>
  <si>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</si>
  <si>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</si>
  <si>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</si>
  <si>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</si>
  <si>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</si>
  <si>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</si>
  <si>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</si>
  <si>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</si>
  <si>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</si>
  <si>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</si>
  <si>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</si>
  <si>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</si>
  <si>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</si>
  <si>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</si>
  <si>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</si>
  <si>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</si>
  <si>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</si>
  <si>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</si>
  <si>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</si>
  <si>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</si>
  <si>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</si>
  <si>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</si>
  <si>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</si>
  <si>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</si>
  <si>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</si>
  <si>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</si>
  <si>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</si>
  <si>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</si>
  <si>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</si>
  <si>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</si>
  <si>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</si>
  <si>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</si>
  <si>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</si>
  <si>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</si>
  <si>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</si>
  <si>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</si>
  <si>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</si>
  <si>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</si>
  <si>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</si>
  <si>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</si>
  <si>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</si>
  <si>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</si>
  <si>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</si>
  <si>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</si>
  <si>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</si>
  <si>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</si>
  <si>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</si>
  <si>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</si>
  <si>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</si>
  <si>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</si>
  <si>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</si>
  <si>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</si>
  <si>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</si>
  <si>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</si>
  <si>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</si>
  <si>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</si>
  <si>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</si>
  <si>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</si>
  <si>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</si>
  <si>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</si>
  <si>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</si>
  <si>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</si>
  <si>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</si>
  <si>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</si>
  <si>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</si>
  <si>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</si>
  <si>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</si>
  <si>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</si>
  <si>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</si>
  <si>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</si>
  <si>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</si>
  <si>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</si>
  <si>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</si>
  <si>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</si>
  <si>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</si>
  <si>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</si>
  <si>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</si>
  <si>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</si>
  <si>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</si>
  <si>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</si>
  <si>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</si>
  <si>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</si>
  <si>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</si>
  <si>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</si>
  <si>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</si>
  <si>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</si>
  <si>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</si>
  <si>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</si>
  <si>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</si>
  <si>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</si>
  <si>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</si>
  <si>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</si>
  <si>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</si>
  <si>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</si>
  <si>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</si>
  <si>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</si>
  <si>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</si>
  <si>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</si>
  <si>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</si>
  <si>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</si>
  <si>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</si>
  <si>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</si>
  <si>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</si>
  <si>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</si>
  <si>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</si>
  <si>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</si>
  <si>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</si>
  <si>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</si>
  <si>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</si>
  <si>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</si>
  <si>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</si>
  <si>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</si>
  <si>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</si>
  <si>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</si>
  <si>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</si>
  <si>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</si>
  <si>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</si>
  <si>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</si>
  <si>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</si>
  <si>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</si>
  <si>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</si>
  <si>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</si>
  <si>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</si>
  <si>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</si>
  <si>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</si>
  <si>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</si>
  <si>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</si>
  <si>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</si>
  <si>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</si>
  <si>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</si>
  <si>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</si>
  <si>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</si>
  <si>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</si>
  <si>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</si>
  <si>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</si>
  <si>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</si>
  <si>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</si>
  <si>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</si>
  <si>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</si>
  <si>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</si>
  <si>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</si>
  <si>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</si>
  <si>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</si>
  <si>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</si>
  <si>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</si>
  <si>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</si>
  <si>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</si>
  <si>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</si>
  <si>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</si>
  <si>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</si>
  <si>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</si>
  <si>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</si>
  <si>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</si>
  <si>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</si>
  <si>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</si>
  <si>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</si>
  <si>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</si>
  <si>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</si>
  <si>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</si>
  <si>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</si>
  <si>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</si>
  <si>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</si>
  <si>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</si>
  <si>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</si>
  <si>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</si>
  <si>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</si>
  <si>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</si>
  <si>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</si>
  <si>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</si>
  <si>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</si>
  <si>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</si>
  <si>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</si>
  <si>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</si>
  <si>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</si>
  <si>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</si>
  <si>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</si>
  <si>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</si>
  <si>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</si>
  <si>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</si>
  <si>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</si>
  <si>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</si>
  <si>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</si>
  <si>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</si>
  <si>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</si>
  <si>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</si>
  <si>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</si>
  <si>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</si>
  <si>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</si>
  <si>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</si>
  <si>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</si>
  <si>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</si>
  <si>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</si>
  <si>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</si>
  <si>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</si>
  <si>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</si>
  <si>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</si>
  <si>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</si>
  <si>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</si>
  <si>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</si>
  <si>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</si>
  <si>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</si>
  <si>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</si>
  <si>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</si>
  <si>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</si>
  <si>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</si>
  <si>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</si>
  <si>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</si>
  <si>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</si>
  <si>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</si>
  <si>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</si>
  <si>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</si>
  <si>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</si>
  <si>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</si>
  <si>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</si>
  <si>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</si>
  <si>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</si>
  <si>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</si>
  <si>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</si>
  <si>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</si>
  <si>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</si>
  <si>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</si>
  <si>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</si>
  <si>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</si>
  <si>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</si>
  <si>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</si>
  <si>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</si>
  <si>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</si>
  <si>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</si>
  <si>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</si>
  <si>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</si>
  <si>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</si>
  <si>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</si>
  <si>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</si>
  <si>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</si>
  <si>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</si>
  <si>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</si>
  <si>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</si>
  <si>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</si>
  <si>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</si>
  <si>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</si>
  <si>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</si>
  <si>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</si>
  <si>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</si>
  <si>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</si>
  <si>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</si>
  <si>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</si>
  <si>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</si>
  <si>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</si>
  <si>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</si>
  <si>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</si>
  <si>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</si>
  <si>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</si>
  <si>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</si>
  <si>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</si>
  <si>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</si>
  <si>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</si>
  <si>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</si>
  <si>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</si>
  <si>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</si>
  <si>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</si>
  <si>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</si>
  <si>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</si>
  <si>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</si>
  <si>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</si>
  <si>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</si>
  <si>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</si>
  <si>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</si>
  <si>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</si>
  <si>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</si>
  <si>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</si>
  <si>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</si>
  <si>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</si>
  <si>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</si>
  <si>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</si>
  <si>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</si>
  <si>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</si>
  <si>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</si>
  <si>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</si>
  <si>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</si>
  <si>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</si>
  <si>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</si>
  <si>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</si>
  <si>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</si>
  <si>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</si>
  <si>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</si>
  <si>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</si>
  <si>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</si>
  <si>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</si>
  <si>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</si>
  <si>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</si>
  <si>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</si>
  <si>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</si>
  <si>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</si>
  <si>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</si>
  <si>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</si>
  <si>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</si>
  <si>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</si>
  <si>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</si>
  <si>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</si>
  <si>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</si>
  <si>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</si>
  <si>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</si>
  <si>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</si>
  <si>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</si>
  <si>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</si>
  <si>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</si>
  <si>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</si>
  <si>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</si>
  <si>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</si>
  <si>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</si>
  <si>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</si>
  <si>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</si>
  <si>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</si>
  <si>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</si>
  <si>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</si>
  <si>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</si>
  <si>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</si>
  <si>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</si>
  <si>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</si>
  <si>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</si>
  <si>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</si>
  <si>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</si>
  <si>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</si>
  <si>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</si>
  <si>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</si>
  <si>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</si>
  <si>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</si>
  <si>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</si>
  <si>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</si>
  <si>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</si>
  <si>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</si>
  <si>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</si>
  <si>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</si>
  <si>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</si>
  <si>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</si>
  <si>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</si>
  <si>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</si>
  <si>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</si>
  <si>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</si>
  <si>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</si>
  <si>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</si>
  <si>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</si>
  <si>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</si>
  <si>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</si>
  <si>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</si>
  <si>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</si>
  <si>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</si>
  <si>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</si>
  <si>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</si>
  <si>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</si>
  <si>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</si>
  <si>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</si>
  <si>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</si>
  <si>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</si>
  <si>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</si>
  <si>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</si>
  <si>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</si>
  <si>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</si>
  <si>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</si>
  <si>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</si>
  <si>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</si>
  <si>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</si>
  <si>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</si>
  <si>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</si>
  <si>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</si>
  <si>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</si>
  <si>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</si>
  <si>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</si>
  <si>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</si>
  <si>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</si>
  <si>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</si>
  <si>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</si>
  <si>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</si>
  <si>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</si>
  <si>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</si>
  <si>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</si>
  <si>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</si>
  <si>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</si>
  <si>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</si>
  <si>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</si>
  <si>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</si>
  <si>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</si>
  <si>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</si>
  <si>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</si>
  <si>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</si>
  <si>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</si>
  <si>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</si>
  <si>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</si>
  <si>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</si>
  <si>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</si>
  <si>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</si>
  <si>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</si>
  <si>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</si>
  <si>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</si>
  <si>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</si>
  <si>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</si>
  <si>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</si>
  <si>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</si>
  <si>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</si>
  <si>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</si>
  <si>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</si>
  <si>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</si>
  <si>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</si>
  <si>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</si>
  <si>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</si>
  <si>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</si>
  <si>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</si>
  <si>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</si>
  <si>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</si>
  <si>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</si>
  <si>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</si>
  <si>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</si>
  <si>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</si>
  <si>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</si>
  <si>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</si>
  <si>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</si>
  <si>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</si>
  <si>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</si>
  <si>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</si>
  <si>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</si>
  <si>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</si>
  <si>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</si>
  <si>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</si>
  <si>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</si>
  <si>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</si>
  <si>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</si>
  <si>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</si>
  <si>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</si>
  <si>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</si>
  <si>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</si>
  <si>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</si>
  <si>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</si>
  <si>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</si>
  <si>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</si>
  <si>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</si>
  <si>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</si>
  <si>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</si>
  <si>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</si>
  <si>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</si>
  <si>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</si>
  <si>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</si>
  <si>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</si>
  <si>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</si>
  <si>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</si>
  <si>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</si>
  <si>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</si>
  <si>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</si>
  <si>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</si>
  <si>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</si>
  <si>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</si>
  <si>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</si>
  <si>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</si>
  <si>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</si>
  <si>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</si>
  <si>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</si>
  <si>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</si>
  <si>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</si>
  <si>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</si>
  <si>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</si>
  <si>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</si>
  <si>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</si>
  <si>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</si>
  <si>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</si>
  <si>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</si>
  <si>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</si>
  <si>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</si>
  <si>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</si>
  <si>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</si>
  <si>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</si>
  <si>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</si>
  <si>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</si>
  <si>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</si>
  <si>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</si>
  <si>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</si>
  <si>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</si>
  <si>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</si>
  <si>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</si>
  <si>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</si>
  <si>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</si>
  <si>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</si>
  <si>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</si>
  <si>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</si>
  <si>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</si>
  <si>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</si>
  <si>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</si>
  <si>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</si>
  <si>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</si>
  <si>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</si>
  <si>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</si>
  <si>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</si>
  <si>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</si>
  <si>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</si>
  <si>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</si>
  <si>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</si>
  <si>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</si>
  <si>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</si>
  <si>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</si>
  <si>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</si>
  <si>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</si>
  <si>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</si>
  <si>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</si>
  <si>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</si>
  <si>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</si>
  <si>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</si>
  <si>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</si>
  <si>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</si>
  <si>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</si>
  <si>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</si>
  <si>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</si>
  <si>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</si>
  <si>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</si>
  <si>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</si>
  <si>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</si>
  <si>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</si>
  <si>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</si>
  <si>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</si>
  <si>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</si>
  <si>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</si>
  <si>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</si>
  <si>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</si>
  <si>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</si>
  <si>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</si>
  <si>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</si>
  <si>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</si>
  <si>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</si>
  <si>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</si>
  <si>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</si>
  <si>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</si>
  <si>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</si>
  <si>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</si>
  <si>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</si>
  <si>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</si>
  <si>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</si>
  <si>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</si>
  <si>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</si>
  <si>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</si>
  <si>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</si>
  <si>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</si>
  <si>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</si>
  <si>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</si>
  <si>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</si>
  <si>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</si>
  <si>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</si>
  <si>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</si>
  <si>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</si>
  <si>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</si>
  <si>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</si>
  <si>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</si>
  <si>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</si>
  <si>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</si>
  <si>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</si>
  <si>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</si>
  <si>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</si>
  <si>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</si>
  <si>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</si>
  <si>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</si>
  <si>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</si>
  <si>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</si>
  <si>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</si>
  <si>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</si>
  <si>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</si>
  <si>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</si>
  <si>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</si>
  <si>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</si>
  <si>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</si>
  <si>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</si>
  <si>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</si>
  <si>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</si>
  <si>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</si>
  <si>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</si>
  <si>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</si>
  <si>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</si>
  <si>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</si>
  <si>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</si>
  <si>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</si>
  <si>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</si>
  <si>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</si>
  <si>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</si>
  <si>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</si>
  <si>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</si>
  <si>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</si>
  <si>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</si>
  <si>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</si>
  <si>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</si>
  <si>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</si>
  <si>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</si>
  <si>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</si>
  <si>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</si>
  <si>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</si>
  <si>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</si>
  <si>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</si>
  <si>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</si>
  <si>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</si>
  <si>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</si>
  <si>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</si>
  <si>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</si>
  <si>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</si>
  <si>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</si>
  <si>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</si>
  <si>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</si>
  <si>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</si>
  <si>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</si>
  <si>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</si>
  <si>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</si>
  <si>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</si>
  <si>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</si>
  <si>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</si>
  <si>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</si>
  <si>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</si>
  <si>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</si>
  <si>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</si>
  <si>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</si>
  <si>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</si>
  <si>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</si>
  <si>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</si>
  <si>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</si>
  <si>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</si>
  <si>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</si>
  <si>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</si>
  <si>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</si>
  <si>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</si>
  <si>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</si>
  <si>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</si>
  <si>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</si>
  <si>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</si>
  <si>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</si>
  <si>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</si>
  <si>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</si>
  <si>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</si>
  <si>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</si>
  <si>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</si>
  <si>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</si>
  <si>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</si>
  <si>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</si>
  <si>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</si>
  <si>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</si>
  <si>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</si>
  <si>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</si>
  <si>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</si>
  <si>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</si>
  <si>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</si>
  <si>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</si>
  <si>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</si>
  <si>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</si>
  <si>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</si>
  <si>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</si>
  <si>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</si>
  <si>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</si>
  <si>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</si>
  <si>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</si>
  <si>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</si>
  <si>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</si>
  <si>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</si>
  <si>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</si>
  <si>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</si>
  <si>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</si>
  <si>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</si>
  <si>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</si>
  <si>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</si>
  <si>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</si>
  <si>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</si>
  <si>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</si>
  <si>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</si>
  <si>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</si>
  <si>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</si>
  <si>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</si>
  <si>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</si>
  <si>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</si>
  <si>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</si>
  <si>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</si>
  <si>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</si>
  <si>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</si>
  <si>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</si>
  <si>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</si>
  <si>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</si>
  <si>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</si>
  <si>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</si>
  <si>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</si>
  <si>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</si>
  <si>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</si>
  <si>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</si>
  <si>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</si>
  <si>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</si>
  <si>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</si>
  <si>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</si>
  <si>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</si>
  <si>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</si>
  <si>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</si>
  <si>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</si>
  <si>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</si>
  <si>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</si>
  <si>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</si>
  <si>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</si>
  <si>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</si>
  <si>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</si>
  <si>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</si>
  <si>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</si>
  <si>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</si>
  <si>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</si>
  <si>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</si>
  <si>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</si>
  <si>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</si>
  <si>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</si>
  <si>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</si>
  <si>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</si>
  <si>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</si>
  <si>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</si>
  <si>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</si>
  <si>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</si>
  <si>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</si>
  <si>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</si>
  <si>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</si>
  <si>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</si>
  <si>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</si>
  <si>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</si>
  <si>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</si>
  <si>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</si>
  <si>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</si>
  <si>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</si>
  <si>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</si>
  <si>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</si>
  <si>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</si>
  <si>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</si>
  <si>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</si>
  <si>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</si>
  <si>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</si>
  <si>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</si>
  <si>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</si>
  <si>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</si>
  <si>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</si>
  <si>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</si>
  <si>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</si>
  <si>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</si>
  <si>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</si>
  <si>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</si>
  <si>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</si>
  <si>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</si>
  <si>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</si>
  <si>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</si>
  <si>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</si>
  <si>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</si>
  <si>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</si>
  <si>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</si>
  <si>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</si>
  <si>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</si>
  <si>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</si>
  <si>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</si>
  <si>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</si>
  <si>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</si>
  <si>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</si>
  <si>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</si>
  <si>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</si>
  <si>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</si>
  <si>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</si>
  <si>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</si>
  <si>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</si>
  <si>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</si>
  <si>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</si>
  <si>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</si>
  <si>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</si>
  <si>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</si>
  <si>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</si>
  <si>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</si>
  <si>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</si>
  <si>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</si>
  <si>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</si>
  <si>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</si>
  <si>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</si>
  <si>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</si>
  <si>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</si>
  <si>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</si>
  <si>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</si>
  <si>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</si>
  <si>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</si>
  <si>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</si>
  <si>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</si>
  <si>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</si>
  <si>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</si>
  <si>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</si>
  <si>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</si>
  <si>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</si>
  <si>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</si>
  <si>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</si>
  <si>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</si>
  <si>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</si>
  <si>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</si>
  <si>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</si>
  <si>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</si>
  <si>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</si>
  <si>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</si>
  <si>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</si>
  <si>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</si>
  <si>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</si>
  <si>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</si>
  <si>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</si>
  <si>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</si>
  <si>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</si>
  <si>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</si>
  <si>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</si>
  <si>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</si>
  <si>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</si>
  <si>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</si>
  <si>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</si>
  <si>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</si>
  <si>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</si>
  <si>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</si>
  <si>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</si>
  <si>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</si>
  <si>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</si>
  <si>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</si>
  <si>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</si>
  <si>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</si>
  <si>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</si>
  <si>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</si>
  <si>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</si>
  <si>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</si>
  <si>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</si>
  <si>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</si>
  <si>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</si>
  <si>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</si>
  <si>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</si>
  <si>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</si>
  <si>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</si>
  <si>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</si>
  <si>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</si>
  <si>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</si>
  <si>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</si>
  <si>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</si>
  <si>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</si>
  <si>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</si>
  <si>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</si>
  <si>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</si>
  <si>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</si>
  <si>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</si>
  <si>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</si>
  <si>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</si>
  <si>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</si>
  <si>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</si>
  <si>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</si>
  <si>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</si>
  <si>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</si>
  <si>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</si>
  <si>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</si>
  <si>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</si>
  <si>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</si>
  <si>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</si>
  <si>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</si>
  <si>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</si>
  <si>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</si>
  <si>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</si>
  <si>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</si>
  <si>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</si>
  <si>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</si>
  <si>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</si>
  <si>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</si>
  <si>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</si>
  <si>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</si>
  <si>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</si>
  <si>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</si>
  <si>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</si>
  <si>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</si>
  <si>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</si>
  <si>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</si>
  <si>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</si>
  <si>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</si>
  <si>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</si>
  <si>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</si>
  <si>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</si>
  <si>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</si>
  <si>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</si>
  <si>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</si>
  <si>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</si>
  <si>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</si>
  <si>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</si>
  <si>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</si>
  <si>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</si>
  <si>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</si>
  <si>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</si>
  <si>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</si>
  <si>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</si>
  <si>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</si>
  <si>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</si>
  <si>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</si>
  <si>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</si>
  <si>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</si>
  <si>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</si>
  <si>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</si>
  <si>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</si>
  <si>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</si>
  <si>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</si>
  <si>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</si>
  <si>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</si>
  <si>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</si>
  <si>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</si>
  <si>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</si>
  <si>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</si>
  <si>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</si>
  <si>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</si>
  <si>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</si>
  <si>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</si>
  <si>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</si>
  <si>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</si>
  <si>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</si>
  <si>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</si>
  <si>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</si>
  <si>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</si>
  <si>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</si>
  <si>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</si>
  <si>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</si>
  <si>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</si>
  <si>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</si>
  <si>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</si>
  <si>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</si>
  <si>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</si>
  <si>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</si>
  <si>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</si>
  <si>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</si>
  <si>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</si>
  <si>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</si>
  <si>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</si>
  <si>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</si>
  <si>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</si>
  <si>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</si>
  <si>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</si>
  <si>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</si>
  <si>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</si>
  <si>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</si>
  <si>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</si>
  <si>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</si>
  <si>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</si>
  <si>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</si>
  <si>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</si>
  <si>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</si>
  <si>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</si>
  <si>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</si>
  <si>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</si>
  <si>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</si>
  <si>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</si>
  <si>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</si>
  <si>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</si>
  <si>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</si>
  <si>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</si>
  <si>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</si>
  <si>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</si>
  <si>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</si>
  <si>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</si>
  <si>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</si>
  <si>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</si>
  <si>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</si>
  <si>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</si>
  <si>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</si>
  <si>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</si>
  <si>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</si>
  <si>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</si>
  <si>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</si>
  <si>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</si>
  <si>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</si>
  <si>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</si>
  <si>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</si>
  <si>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</si>
  <si>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</si>
  <si>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</si>
  <si>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</si>
  <si>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</si>
  <si>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</si>
  <si>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</si>
  <si>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</si>
  <si>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</si>
  <si>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</si>
  <si>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</si>
  <si>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</si>
  <si>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</si>
  <si>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</si>
  <si>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</si>
  <si>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</si>
  <si>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</si>
  <si>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</si>
  <si>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</si>
  <si>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</si>
  <si>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</si>
  <si>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</si>
  <si>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</si>
  <si>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</si>
  <si>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</si>
  <si>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</si>
  <si>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</si>
  <si>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</si>
  <si>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</si>
  <si>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</si>
  <si>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</si>
  <si>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</si>
  <si>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</si>
  <si>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</si>
  <si>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</si>
  <si>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</si>
  <si>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</si>
  <si>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</si>
  <si>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</si>
  <si>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</si>
  <si>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</si>
  <si>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</si>
  <si>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</si>
  <si>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</si>
  <si>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</si>
  <si>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</si>
  <si>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</si>
  <si>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</si>
  <si>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</si>
  <si>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</si>
  <si>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</si>
  <si>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</si>
  <si>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</si>
  <si>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</si>
  <si>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</si>
  <si>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</si>
  <si>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</si>
  <si>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</si>
  <si>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</si>
  <si>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</si>
  <si>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</si>
  <si>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</si>
  <si>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</si>
  <si>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</si>
  <si>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</si>
  <si>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</si>
  <si>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</si>
  <si>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</si>
  <si>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</si>
  <si>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</si>
  <si>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</si>
  <si>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</si>
  <si>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</si>
  <si>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</si>
  <si>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</si>
  <si>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</si>
  <si>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</si>
  <si>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</si>
  <si>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</si>
  <si>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</si>
  <si>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</si>
  <si>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</si>
  <si>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</si>
  <si>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</si>
  <si>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</si>
  <si>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</si>
  <si>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</si>
  <si>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</si>
  <si>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</si>
  <si>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</si>
  <si>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</si>
  <si>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</si>
  <si>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</si>
  <si>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</si>
  <si>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</si>
  <si>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</si>
  <si>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</si>
  <si>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</si>
  <si>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</si>
  <si>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</si>
  <si>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</si>
  <si>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</si>
  <si>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</si>
  <si>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</si>
  <si>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</si>
  <si>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</si>
  <si>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</si>
  <si>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</si>
  <si>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</si>
  <si>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</si>
  <si>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</si>
  <si>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</si>
  <si>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</si>
  <si>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</si>
  <si>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</si>
  <si>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</si>
  <si>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</si>
  <si>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</si>
  <si>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</si>
  <si>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</si>
  <si>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</si>
  <si>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</si>
  <si>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</si>
  <si>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</si>
  <si>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</si>
  <si>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</si>
  <si>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</si>
  <si>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</si>
  <si>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</si>
  <si>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</si>
  <si>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</si>
  <si>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</si>
  <si>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</si>
  <si>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</si>
  <si>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</si>
  <si>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</si>
  <si>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</si>
  <si>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</si>
  <si>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</si>
  <si>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</si>
  <si>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</si>
  <si>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</si>
  <si>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</si>
  <si>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</si>
  <si>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</si>
  <si>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</si>
  <si>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</si>
  <si>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</si>
  <si>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</si>
  <si>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</si>
  <si>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</si>
  <si>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</si>
  <si>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</si>
  <si>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</si>
  <si>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</si>
  <si>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</si>
  <si>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</si>
  <si>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</si>
  <si>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</si>
  <si>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</si>
  <si>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</si>
  <si>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</si>
  <si>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</si>
  <si>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</si>
  <si>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</si>
  <si>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</si>
  <si>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</si>
  <si>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</si>
  <si>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</si>
  <si>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</si>
  <si>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</si>
  <si>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</si>
  <si>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</si>
  <si>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</si>
  <si>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</si>
  <si>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</si>
  <si>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</si>
  <si>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</si>
  <si>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</si>
  <si>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</si>
  <si>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</si>
  <si>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</si>
  <si>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</si>
  <si>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</si>
  <si>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</si>
  <si>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</si>
  <si>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</si>
  <si>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</si>
  <si>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</si>
  <si>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</si>
  <si>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</si>
  <si>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</si>
  <si>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</si>
  <si>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</si>
  <si>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</si>
  <si>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</si>
  <si>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</si>
  <si>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</si>
  <si>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</si>
  <si>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</si>
  <si>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</si>
  <si>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</si>
  <si>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</si>
  <si>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</si>
  <si>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</si>
  <si>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</si>
  <si>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</si>
  <si>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</si>
  <si>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</si>
  <si>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</si>
  <si>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</si>
  <si>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</si>
  <si>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</si>
  <si>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</si>
  <si>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</si>
  <si>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</si>
  <si>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</si>
  <si>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</si>
  <si>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</si>
  <si>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</si>
  <si>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</si>
  <si>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</si>
  <si>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</si>
  <si>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</si>
  <si>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</si>
  <si>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</si>
  <si>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</si>
  <si>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</si>
  <si>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</si>
  <si>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</si>
  <si>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</si>
  <si>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</si>
  <si>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</si>
  <si>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</si>
  <si>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</si>
  <si>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</si>
  <si>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</si>
  <si>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</si>
  <si>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</si>
  <si>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</si>
  <si>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</si>
  <si>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</si>
  <si>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</si>
  <si>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</si>
  <si>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</si>
  <si>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</si>
  <si>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</si>
  <si>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</si>
  <si>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</si>
  <si>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</si>
  <si>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</si>
  <si>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</si>
  <si>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</si>
  <si>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</si>
  <si>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</si>
  <si>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</si>
  <si>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</si>
  <si>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</si>
  <si>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</si>
  <si>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</si>
  <si>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</si>
  <si>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</si>
  <si>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</si>
  <si>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</si>
  <si>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</si>
  <si>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</si>
  <si>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</si>
  <si>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</si>
  <si>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</si>
  <si>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</si>
  <si>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</si>
  <si>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</si>
  <si>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</si>
  <si>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</si>
  <si>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</si>
  <si>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</si>
  <si>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</si>
  <si>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</si>
  <si>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</si>
  <si>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</si>
  <si>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</si>
  <si>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</si>
  <si>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</si>
  <si>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</si>
  <si>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</si>
  <si>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</si>
  <si>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</si>
  <si>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</si>
  <si>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</si>
  <si>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</si>
  <si>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</si>
  <si>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</si>
  <si>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</si>
  <si>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</si>
  <si>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</si>
  <si>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</si>
  <si>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</si>
  <si>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</si>
  <si>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</si>
  <si>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</si>
  <si>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</si>
  <si>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</si>
  <si>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</si>
  <si>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</si>
  <si>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</si>
  <si>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</si>
  <si>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</si>
  <si>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</si>
  <si>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</si>
  <si>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</si>
  <si>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</si>
  <si>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</si>
  <si>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</si>
  <si>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</si>
  <si>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</si>
  <si>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</si>
  <si>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</si>
  <si>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</si>
  <si>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</si>
  <si>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</si>
  <si>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</si>
  <si>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</si>
  <si>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</si>
  <si>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</si>
  <si>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</si>
  <si>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</si>
  <si>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</si>
  <si>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</si>
  <si>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</si>
  <si>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</si>
  <si>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</si>
  <si>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</si>
  <si>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</si>
  <si>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</si>
  <si>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</si>
  <si>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</si>
  <si>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</si>
  <si>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</si>
  <si>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</si>
  <si>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</si>
  <si>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</si>
  <si>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</si>
  <si>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</si>
  <si>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</si>
  <si>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</si>
  <si>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</si>
  <si>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</si>
  <si>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</si>
  <si>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</si>
  <si>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</si>
  <si>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</si>
  <si>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</si>
  <si>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</si>
  <si>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</si>
  <si>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</si>
  <si>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</si>
  <si>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</si>
  <si>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</si>
  <si>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</si>
  <si>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</si>
  <si>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</si>
  <si>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</si>
  <si>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</si>
  <si>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</si>
  <si>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</si>
  <si>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</si>
  <si>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</si>
  <si>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</si>
  <si>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</si>
  <si>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</si>
  <si>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</si>
  <si>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</si>
  <si>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</si>
  <si>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</si>
  <si>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</si>
  <si>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</si>
  <si>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</si>
  <si>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</si>
  <si>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</si>
  <si>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</si>
  <si>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</si>
  <si>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</si>
  <si>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</si>
  <si>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</si>
  <si>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</si>
  <si>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</si>
  <si>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</si>
  <si>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</si>
  <si>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</si>
  <si>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</si>
  <si>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</si>
  <si>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</si>
  <si>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</si>
  <si>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</si>
  <si>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</si>
  <si>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</si>
  <si>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</si>
  <si>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</si>
  <si>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</si>
  <si>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</si>
  <si>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</si>
  <si>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</si>
  <si>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</si>
  <si>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</si>
  <si>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</si>
  <si>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</si>
  <si>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</si>
  <si>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</si>
  <si>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</si>
  <si>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</si>
  <si>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</si>
  <si>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</si>
  <si>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</si>
  <si>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</si>
  <si>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</si>
  <si>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</si>
  <si>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</si>
  <si>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</si>
  <si>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</si>
  <si>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</si>
  <si>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</si>
  <si>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</si>
  <si>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</si>
  <si>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</si>
  <si>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</si>
  <si>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</si>
  <si>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</si>
  <si>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</si>
  <si>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</si>
  <si>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</si>
  <si>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</si>
  <si>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</si>
  <si>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</si>
  <si>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</si>
  <si>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</si>
  <si>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</si>
  <si>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</si>
  <si>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</si>
  <si>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</si>
  <si>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</si>
  <si>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</si>
  <si>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</si>
  <si>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</si>
  <si>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</si>
  <si>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</si>
  <si>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</si>
  <si>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</si>
  <si>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</si>
  <si>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</si>
  <si>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</si>
  <si>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</si>
  <si>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</si>
  <si>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</si>
  <si>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</si>
  <si>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</si>
  <si>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</si>
  <si>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</si>
  <si>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</si>
  <si>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</si>
  <si>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</si>
  <si>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</si>
  <si>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</si>
  <si>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</si>
  <si>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</si>
  <si>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</si>
  <si>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</si>
  <si>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</si>
  <si>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</si>
  <si>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</si>
  <si>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</si>
  <si>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</si>
  <si>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</si>
  <si>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</si>
  <si>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</si>
  <si>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</si>
  <si>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</si>
  <si>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</si>
  <si>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</si>
  <si>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</si>
  <si>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</si>
  <si>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</si>
  <si>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</si>
  <si>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</si>
  <si>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</si>
  <si>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</si>
  <si>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</si>
  <si>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</si>
  <si>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</si>
  <si>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</si>
  <si>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</si>
  <si>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</si>
  <si>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</si>
  <si>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</si>
  <si>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</si>
  <si>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</si>
  <si>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</si>
  <si>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</si>
  <si>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</si>
  <si>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</si>
  <si>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</si>
  <si>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</si>
  <si>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</si>
  <si>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</si>
  <si>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</si>
  <si>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</si>
  <si>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</si>
  <si>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</si>
  <si>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</si>
  <si>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</si>
  <si>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</si>
  <si>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</si>
  <si>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</si>
  <si>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</si>
  <si>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</si>
  <si>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</si>
  <si>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</si>
  <si>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</si>
  <si>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</si>
  <si>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</si>
  <si>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</si>
  <si>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</si>
  <si>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</si>
  <si>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</si>
  <si>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</si>
  <si>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</si>
  <si>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</si>
  <si>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</si>
  <si>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</si>
  <si>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</si>
  <si>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</si>
  <si>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</si>
  <si>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</si>
  <si>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</si>
  <si>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</si>
  <si>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</si>
  <si>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</si>
  <si>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</si>
  <si>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</si>
  <si>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</si>
  <si>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</si>
  <si>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</si>
  <si>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</si>
  <si>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</si>
  <si>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</si>
  <si>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</si>
  <si>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</si>
  <si>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</si>
  <si>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</si>
  <si>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</si>
  <si>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</si>
  <si>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</si>
  <si>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</si>
  <si>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</si>
  <si>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</si>
  <si>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</si>
  <si>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</si>
  <si>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</si>
  <si>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</si>
  <si>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</si>
  <si>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</si>
  <si>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</si>
  <si>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</si>
  <si>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</si>
  <si>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</si>
  <si>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</si>
  <si>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</si>
  <si>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</si>
  <si>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</si>
  <si>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</si>
  <si>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</si>
  <si>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</si>
  <si>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</si>
  <si>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</si>
  <si>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</si>
  <si>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</si>
  <si>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</si>
  <si>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</si>
  <si>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</si>
  <si>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</si>
  <si>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</si>
  <si>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</si>
  <si>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</si>
  <si>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</si>
  <si>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</si>
  <si>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</si>
  <si>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</si>
  <si>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</si>
  <si>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</si>
  <si>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</si>
  <si>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</si>
  <si>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</si>
  <si>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</si>
  <si>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</si>
  <si>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</si>
  <si>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</si>
  <si>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</si>
  <si>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</si>
  <si>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</si>
  <si>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</si>
  <si>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</si>
  <si>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</si>
  <si>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</si>
  <si>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</si>
  <si>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</si>
  <si>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</si>
  <si>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</si>
  <si>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</si>
  <si>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</si>
  <si>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</si>
  <si>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</si>
  <si>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</si>
  <si>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</si>
  <si>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</si>
  <si>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</si>
  <si>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</si>
  <si>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</si>
  <si>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</si>
  <si>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</si>
  <si>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</si>
  <si>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</si>
  <si>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</si>
  <si>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</si>
  <si>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</si>
  <si>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</si>
  <si>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</si>
  <si>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</si>
  <si>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</si>
  <si>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</si>
  <si>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</si>
  <si>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</si>
  <si>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</si>
  <si>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</si>
  <si>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</si>
  <si>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</si>
  <si>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</si>
  <si>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</si>
  <si>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</si>
  <si>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</si>
  <si>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</si>
  <si>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</si>
  <si>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</si>
  <si>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</si>
  <si>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</si>
  <si>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</si>
  <si>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</si>
  <si>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</si>
  <si>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</si>
  <si>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</si>
  <si>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</si>
  <si>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</si>
  <si>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</si>
  <si>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</si>
  <si>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</si>
  <si>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</si>
  <si>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</si>
  <si>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</si>
  <si>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</si>
  <si>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</si>
  <si>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</si>
  <si>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</si>
  <si>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</si>
  <si>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</si>
  <si>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</si>
  <si>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</si>
  <si>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</si>
  <si>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</si>
  <si>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</si>
  <si>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</si>
  <si>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</si>
  <si>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</si>
  <si>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</si>
  <si>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</si>
  <si>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</si>
  <si>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</si>
  <si>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</si>
  <si>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</si>
  <si>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</si>
  <si>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</si>
  <si>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</si>
  <si>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</si>
  <si>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</si>
  <si>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</si>
  <si>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</si>
  <si>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</si>
  <si>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</si>
  <si>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</si>
  <si>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</si>
  <si>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</si>
  <si>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</si>
  <si>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</si>
  <si>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</si>
  <si>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</si>
  <si>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</si>
  <si>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</si>
  <si>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</si>
  <si>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</si>
  <si>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</si>
  <si>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</si>
  <si>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</si>
  <si>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</si>
  <si>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</si>
  <si>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</si>
  <si>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</si>
  <si>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</si>
  <si>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</si>
  <si>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</si>
  <si>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</si>
  <si>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</si>
  <si>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</si>
  <si>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</si>
  <si>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</si>
  <si>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</si>
  <si>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</si>
  <si>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</si>
  <si>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</si>
  <si>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</si>
  <si>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</si>
  <si>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</si>
  <si>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</si>
  <si>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</si>
  <si>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</si>
  <si>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</si>
  <si>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</si>
  <si>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</si>
  <si>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</si>
  <si>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</si>
  <si>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</si>
  <si>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</si>
  <si>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</si>
  <si>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</si>
  <si>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</si>
  <si>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</si>
  <si>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</si>
  <si>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</si>
  <si>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</si>
  <si>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</si>
  <si>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</si>
  <si>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</si>
  <si>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</si>
  <si>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</si>
  <si>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</si>
  <si>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</si>
  <si>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</si>
  <si>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</si>
  <si>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</si>
  <si>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</si>
  <si>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</si>
  <si>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</si>
  <si>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</si>
  <si>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</si>
  <si>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</si>
  <si>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</si>
  <si>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</si>
  <si>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</si>
  <si>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</si>
  <si>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</si>
  <si>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</si>
  <si>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</si>
  <si>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</si>
  <si>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</si>
  <si>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</si>
  <si>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</si>
  <si>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</si>
  <si>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</si>
  <si>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</si>
  <si>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</si>
  <si>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</si>
  <si>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</si>
  <si>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</si>
  <si>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</si>
  <si>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</si>
  <si>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</si>
  <si>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</si>
  <si>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</si>
  <si>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</si>
  <si>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</si>
  <si>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</si>
  <si>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</si>
  <si>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</si>
  <si>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</si>
  <si>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</si>
  <si>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</si>
  <si>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</si>
  <si>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</si>
  <si>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</si>
  <si>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</si>
  <si>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</si>
  <si>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</si>
  <si>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</si>
  <si>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</si>
  <si>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</si>
  <si>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</si>
  <si>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</si>
  <si>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</si>
  <si>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</si>
  <si>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</si>
  <si>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</si>
  <si>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</si>
  <si>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</si>
  <si>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</si>
  <si>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</si>
  <si>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</si>
  <si>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</si>
  <si>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</si>
  <si>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</si>
  <si>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</si>
  <si>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</si>
  <si>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</si>
  <si>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</si>
  <si>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</si>
  <si>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</si>
  <si>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</si>
  <si>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</si>
  <si>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</si>
  <si>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</si>
  <si>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</si>
  <si>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</si>
  <si>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</si>
  <si>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</si>
  <si>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</si>
  <si>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</si>
  <si>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</si>
  <si>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</si>
  <si>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</si>
  <si>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</si>
  <si>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</si>
  <si>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</si>
  <si>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</si>
  <si>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</si>
  <si>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</si>
  <si>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</si>
  <si>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</si>
  <si>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</si>
  <si>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</si>
  <si>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</si>
  <si>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</si>
  <si>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</si>
  <si>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</si>
  <si>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</si>
  <si>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</si>
  <si>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</si>
  <si>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</si>
  <si>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</si>
  <si>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</si>
  <si>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</si>
  <si>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</si>
  <si>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</si>
  <si>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</si>
  <si>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</si>
  <si>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</si>
  <si>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</si>
  <si>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</si>
  <si>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</si>
  <si>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</si>
  <si>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</si>
  <si>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</si>
  <si>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</si>
  <si>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</si>
  <si>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</si>
  <si>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</si>
  <si>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</si>
  <si>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</si>
  <si>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</si>
  <si>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</si>
  <si>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</si>
  <si>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</si>
  <si>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</si>
  <si>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</si>
  <si>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</si>
  <si>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</si>
  <si>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</si>
  <si>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</si>
  <si>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</si>
  <si>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</si>
  <si>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</si>
  <si>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</si>
  <si>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</si>
  <si>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</si>
  <si>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</si>
  <si>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</si>
  <si>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</si>
  <si>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</si>
  <si>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</si>
  <si>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</si>
  <si>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</si>
  <si>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</si>
  <si>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</si>
  <si>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</si>
  <si>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</si>
  <si>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</si>
  <si>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</si>
  <si>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</si>
  <si>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</si>
  <si>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</si>
  <si>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</si>
  <si>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</si>
  <si>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</si>
  <si>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</si>
  <si>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</si>
  <si>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</si>
  <si>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</si>
  <si>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</si>
  <si>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</si>
  <si>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</si>
  <si>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</si>
  <si>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</si>
  <si>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</si>
  <si>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</si>
  <si>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</si>
  <si>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</si>
  <si>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</si>
  <si>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</si>
  <si>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</si>
  <si>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</si>
  <si>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</si>
  <si>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</si>
  <si>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</si>
  <si>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</si>
  <si>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</si>
  <si>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</si>
  <si>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</si>
  <si>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</si>
  <si>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</si>
  <si>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</si>
  <si>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</si>
  <si>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</si>
  <si>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</si>
  <si>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</si>
  <si>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</si>
  <si>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</si>
  <si>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</si>
  <si>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</si>
  <si>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</si>
  <si>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</si>
  <si>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</si>
  <si>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</si>
  <si>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</si>
  <si>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</si>
  <si>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</si>
  <si>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</si>
  <si>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</si>
  <si>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</si>
  <si>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</si>
  <si>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</si>
  <si>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</si>
  <si>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</si>
  <si>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</si>
  <si>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</si>
  <si>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</si>
  <si>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</si>
  <si>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</si>
  <si>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</si>
  <si>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</si>
  <si>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</si>
  <si>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</si>
  <si>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</si>
  <si>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</si>
  <si>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</si>
  <si>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</si>
  <si>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</si>
  <si>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</si>
  <si>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</si>
  <si>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</si>
  <si>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</si>
  <si>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</si>
  <si>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</si>
  <si>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</si>
  <si>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</si>
  <si>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</si>
  <si>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</si>
  <si>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</si>
  <si>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</si>
  <si>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</si>
  <si>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</si>
  <si>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</si>
  <si>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</si>
  <si>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</si>
  <si>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</si>
  <si>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</si>
  <si>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</si>
  <si>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</si>
  <si>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</si>
  <si>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</si>
  <si>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</si>
  <si>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</si>
  <si>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</si>
  <si>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</si>
  <si>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</si>
  <si>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</si>
  <si>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</si>
  <si>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</si>
  <si>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</si>
  <si>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</si>
  <si>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</si>
  <si>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</si>
  <si>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</si>
  <si>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</si>
  <si>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</si>
  <si>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</si>
  <si>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</si>
  <si>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</si>
  <si>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</si>
  <si>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</si>
  <si>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</si>
  <si>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</si>
  <si>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</si>
  <si>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</si>
  <si>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</si>
  <si>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</si>
  <si>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</si>
  <si>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</si>
  <si>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</si>
  <si>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</si>
  <si>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</si>
  <si>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</si>
  <si>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</si>
  <si>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</si>
  <si>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</si>
  <si>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</si>
  <si>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</si>
  <si>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</si>
  <si>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</si>
  <si>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</si>
  <si>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</si>
  <si>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</si>
  <si>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</si>
  <si>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</si>
  <si>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</si>
  <si>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</si>
  <si>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</si>
  <si>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</si>
  <si>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</si>
  <si>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</si>
  <si>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</si>
  <si>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</si>
  <si>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</si>
  <si>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</si>
  <si>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</si>
  <si>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</si>
  <si>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</si>
  <si>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</si>
  <si>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</si>
  <si>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</si>
  <si>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</si>
  <si>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</si>
  <si>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</si>
  <si>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</si>
  <si>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</si>
  <si>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</si>
  <si>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</si>
  <si>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</si>
  <si>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</si>
  <si>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</si>
  <si>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</si>
  <si>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</si>
  <si>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</si>
  <si>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</si>
  <si>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</si>
  <si>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</si>
  <si>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</si>
  <si>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</si>
  <si>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</si>
  <si>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</si>
  <si>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</si>
  <si>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</si>
  <si>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</si>
  <si>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</si>
  <si>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</si>
  <si>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</si>
  <si>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</si>
  <si>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</si>
  <si>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</si>
  <si>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</si>
  <si>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</si>
  <si>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</si>
  <si>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</si>
  <si>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</si>
  <si>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</si>
  <si>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</si>
  <si>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</si>
  <si>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</si>
  <si>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</si>
  <si>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</si>
  <si>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</si>
  <si>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</si>
  <si>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</si>
  <si>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</si>
  <si>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</si>
  <si>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</si>
  <si>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</si>
  <si>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</si>
  <si>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</si>
  <si>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</si>
  <si>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</si>
  <si>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</si>
  <si>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</si>
  <si>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</si>
  <si>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</si>
  <si>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</si>
  <si>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</si>
  <si>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</si>
  <si>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</si>
  <si>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</si>
  <si>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</si>
  <si>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</si>
  <si>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</si>
  <si>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</si>
  <si>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</si>
  <si>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</si>
  <si>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</si>
  <si>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</si>
  <si>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</si>
  <si>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</si>
  <si>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</si>
  <si>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</si>
  <si>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</si>
  <si>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</si>
  <si>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</si>
  <si>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</si>
  <si>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</si>
  <si>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</si>
  <si>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</si>
  <si>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</si>
  <si>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</si>
  <si>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</si>
  <si>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</si>
  <si>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</si>
  <si>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</si>
  <si>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</si>
  <si>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</si>
  <si>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</si>
  <si>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</si>
  <si>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</si>
  <si>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</si>
  <si>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</si>
  <si>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</si>
  <si>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</si>
  <si>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</si>
  <si>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</si>
  <si>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</si>
  <si>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</si>
  <si>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</si>
  <si>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</si>
  <si>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</si>
  <si>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</si>
  <si>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</si>
  <si>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</si>
  <si>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</si>
  <si>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</si>
  <si>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</si>
  <si>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</si>
  <si>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</si>
  <si>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</si>
  <si>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</si>
  <si>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</si>
  <si>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</si>
  <si>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</si>
  <si>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</si>
  <si>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</si>
  <si>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</si>
  <si>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</si>
  <si>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</si>
  <si>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</si>
  <si>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</si>
  <si>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</si>
  <si>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</si>
  <si>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</si>
  <si>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</si>
  <si>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</si>
  <si>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</si>
  <si>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</si>
  <si>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</si>
  <si>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</si>
  <si>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</si>
  <si>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</si>
  <si>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</si>
  <si>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</si>
  <si>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</si>
  <si>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</si>
  <si>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</si>
  <si>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</si>
  <si>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</si>
  <si>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</si>
  <si>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</si>
  <si>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</si>
  <si>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</si>
  <si>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</si>
  <si>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</si>
  <si>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</si>
  <si>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</si>
  <si>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</si>
  <si>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</si>
  <si>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</si>
  <si>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</si>
  <si>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</si>
  <si>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</si>
  <si>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</si>
  <si>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</si>
  <si>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</si>
  <si>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</si>
  <si>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</si>
  <si>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</si>
  <si>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</si>
  <si>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</si>
  <si>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</si>
  <si>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</si>
  <si>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</si>
  <si>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</si>
  <si>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</si>
  <si>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</si>
  <si>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</si>
  <si>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</si>
  <si>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</si>
  <si>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</si>
  <si>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</si>
  <si>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</si>
  <si>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</si>
  <si>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</si>
  <si>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</si>
  <si>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</si>
  <si>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</si>
  <si>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</si>
  <si>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</si>
  <si>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</si>
  <si>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</si>
  <si>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</si>
  <si>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</si>
  <si>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</si>
  <si>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</si>
  <si>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</si>
  <si>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</si>
  <si>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</si>
  <si>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</si>
  <si>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</si>
  <si>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</si>
  <si>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</si>
  <si>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</si>
  <si>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</si>
  <si>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</si>
  <si>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</si>
  <si>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</si>
  <si>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</si>
  <si>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</si>
  <si>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</si>
  <si>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</si>
  <si>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</si>
  <si>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</si>
  <si>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</si>
  <si>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</si>
  <si>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</si>
  <si>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</si>
  <si>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</si>
  <si>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</si>
  <si>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</si>
  <si>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</si>
  <si>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</si>
  <si>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</si>
  <si>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</si>
  <si>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</si>
  <si>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</si>
  <si>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</si>
  <si>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</si>
  <si>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</si>
  <si>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</si>
  <si>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</si>
  <si>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</si>
  <si>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</si>
  <si>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</si>
  <si>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</si>
  <si>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</si>
  <si>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</si>
  <si>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</si>
  <si>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</si>
  <si>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</si>
  <si>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</si>
  <si>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</si>
  <si>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</si>
  <si>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</si>
  <si>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</si>
  <si>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</si>
  <si>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</si>
  <si>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</si>
  <si>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</si>
  <si>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</si>
  <si>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</si>
  <si>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</si>
  <si>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</si>
  <si>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</si>
  <si>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</si>
  <si>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</si>
  <si>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</si>
  <si>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</si>
  <si>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</si>
  <si>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</si>
  <si>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</si>
  <si>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</si>
  <si>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</si>
  <si>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</si>
  <si>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</si>
  <si>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</si>
  <si>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</si>
  <si>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</si>
  <si>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</si>
  <si>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</si>
  <si>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</si>
  <si>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</si>
  <si>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</si>
  <si>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</si>
  <si>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</si>
  <si>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</si>
  <si>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</si>
  <si>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</si>
  <si>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</si>
  <si>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</si>
  <si>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</si>
  <si>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</si>
  <si>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</si>
  <si>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</si>
  <si>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</si>
  <si>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</si>
  <si>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</si>
  <si>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</si>
  <si>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</si>
  <si>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</si>
  <si>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</si>
  <si>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</si>
  <si>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</si>
  <si>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</si>
  <si>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</si>
  <si>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</si>
  <si>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</si>
  <si>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</si>
  <si>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</si>
  <si>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</si>
  <si>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</si>
  <si>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</si>
  <si>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</si>
  <si>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</si>
  <si>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</si>
  <si>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</si>
  <si>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</si>
  <si>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</si>
  <si>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</si>
  <si>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</si>
  <si>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</si>
  <si>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</si>
  <si>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</si>
  <si>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</si>
  <si>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</si>
  <si>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</si>
  <si>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</si>
  <si>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</si>
  <si>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</si>
  <si>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</si>
  <si>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</si>
  <si>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</si>
  <si>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</si>
  <si>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</si>
  <si>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</si>
  <si>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</si>
  <si>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</si>
  <si>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</si>
  <si>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</si>
  <si>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</si>
  <si>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</si>
  <si>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</si>
  <si>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</si>
  <si>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</si>
  <si>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</si>
  <si>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</si>
  <si>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</si>
  <si>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</si>
  <si>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</si>
  <si>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</si>
  <si>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</si>
  <si>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</si>
  <si>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</si>
  <si>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</si>
  <si>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</si>
  <si>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</si>
  <si>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</si>
  <si>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</si>
  <si>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</si>
  <si>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</si>
  <si>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</si>
  <si>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</si>
  <si>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</si>
  <si>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</si>
  <si>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</si>
  <si>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</si>
  <si>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</si>
  <si>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</si>
  <si>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</si>
  <si>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</si>
  <si>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</si>
  <si>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</si>
  <si>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</si>
  <si>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</si>
  <si>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</si>
  <si>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</si>
  <si>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</si>
  <si>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</si>
  <si>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</si>
  <si>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</si>
  <si>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</si>
  <si>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</si>
  <si>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</si>
  <si>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</si>
  <si>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</si>
  <si>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</si>
  <si>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</si>
  <si>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</si>
  <si>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</si>
  <si>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</si>
  <si>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</si>
  <si>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</si>
  <si>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</si>
  <si>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</si>
  <si>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</si>
  <si>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</si>
  <si>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</si>
  <si>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</si>
  <si>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</si>
  <si>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</si>
  <si>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</si>
  <si>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</si>
  <si>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</si>
  <si>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</si>
  <si>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</si>
  <si>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</si>
  <si>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</si>
  <si>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</si>
  <si>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</si>
  <si>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</si>
  <si>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</si>
  <si>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</si>
  <si>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</si>
  <si>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</si>
  <si>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</si>
  <si>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</si>
  <si>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</si>
  <si>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</si>
  <si>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</si>
  <si>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</si>
  <si>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</si>
  <si>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</si>
  <si>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</si>
  <si>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</si>
  <si>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</si>
  <si>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</si>
  <si>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</si>
  <si>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</si>
  <si>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</si>
  <si>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</si>
  <si>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</si>
  <si>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</si>
  <si>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</si>
  <si>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</si>
  <si>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</si>
  <si>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</si>
  <si>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</si>
  <si>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</si>
  <si>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</si>
  <si>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</si>
  <si>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</si>
  <si>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</si>
  <si>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</si>
  <si>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</si>
  <si>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</si>
  <si>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</si>
  <si>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</si>
  <si>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</si>
  <si>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</si>
  <si>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</si>
  <si>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</si>
  <si>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</si>
  <si>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</si>
  <si>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</si>
  <si>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</si>
  <si>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</si>
  <si>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</si>
  <si>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</si>
  <si>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</si>
  <si>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</si>
  <si>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</si>
  <si>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</si>
  <si>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</si>
  <si>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</si>
  <si>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</si>
  <si>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</si>
  <si>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</si>
  <si>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</si>
  <si>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</si>
  <si>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</si>
  <si>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</si>
  <si>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</si>
  <si>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</si>
  <si>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</si>
  <si>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</si>
  <si>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</si>
  <si>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</si>
  <si>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</si>
  <si>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</si>
  <si>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</si>
  <si>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</si>
  <si>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</si>
  <si>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</si>
  <si>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</si>
  <si>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</si>
  <si>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</si>
  <si>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</si>
  <si>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</si>
  <si>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</si>
  <si>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</si>
  <si>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</si>
  <si>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</si>
  <si>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</si>
  <si>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</si>
  <si>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</si>
  <si>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</si>
  <si>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</si>
  <si>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</si>
  <si>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</si>
  <si>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</si>
  <si>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</si>
  <si>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</si>
  <si>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</si>
  <si>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</si>
  <si>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</si>
  <si>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</si>
  <si>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</si>
  <si>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</si>
  <si>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</si>
  <si>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</si>
  <si>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</si>
  <si>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</si>
  <si>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</si>
  <si>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</si>
  <si>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</si>
  <si>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</si>
  <si>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</si>
  <si>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</si>
  <si>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</si>
  <si>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</si>
  <si>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</si>
  <si>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</si>
  <si>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</si>
  <si>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</si>
  <si>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</si>
  <si>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</si>
  <si>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</si>
  <si>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</si>
  <si>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</si>
  <si>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</si>
  <si>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</si>
  <si>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</si>
  <si>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</si>
  <si>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</si>
  <si>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</si>
  <si>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</si>
  <si>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</si>
  <si>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</si>
  <si>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</si>
  <si>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</si>
  <si>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</si>
  <si>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</si>
  <si>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</si>
  <si>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</si>
  <si>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</si>
  <si>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</si>
  <si>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</si>
  <si>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</si>
  <si>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</si>
  <si>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</si>
  <si>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</si>
  <si>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</si>
  <si>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</si>
  <si>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</si>
  <si>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</si>
  <si>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</si>
  <si>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</si>
  <si>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</si>
  <si>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</si>
  <si>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</si>
  <si>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</si>
  <si>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</si>
  <si>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</si>
  <si>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</si>
  <si>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</si>
  <si>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</si>
  <si>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</si>
  <si>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</si>
  <si>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</si>
  <si>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</si>
  <si>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</si>
  <si>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</si>
  <si>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</si>
  <si>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</si>
  <si>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</si>
  <si>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</si>
  <si>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</si>
  <si>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</si>
  <si>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</si>
  <si>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</si>
  <si>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</si>
  <si>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</si>
  <si>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</si>
  <si>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</si>
  <si>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</si>
  <si>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</si>
  <si>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</si>
  <si>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</si>
  <si>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</si>
  <si>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</si>
  <si>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</si>
  <si>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</si>
  <si>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</si>
  <si>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</si>
  <si>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</si>
  <si>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</si>
  <si>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</si>
  <si>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</si>
  <si>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</si>
  <si>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</si>
  <si>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</si>
  <si>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</si>
  <si>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</si>
  <si>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</si>
  <si>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</si>
  <si>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</si>
  <si>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</si>
  <si>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</si>
  <si>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</si>
  <si>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</si>
  <si>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</si>
  <si>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</si>
  <si>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</si>
  <si>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</si>
  <si>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</si>
  <si>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</si>
  <si>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</si>
  <si>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</si>
  <si>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</si>
  <si>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</si>
  <si>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</si>
  <si>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</si>
  <si>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</si>
  <si>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</si>
  <si>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</si>
  <si>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</si>
  <si>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</si>
  <si>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</si>
  <si>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</si>
  <si>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</si>
  <si>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</si>
  <si>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</si>
  <si>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</si>
  <si>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</si>
  <si>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</si>
  <si>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</si>
  <si>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</si>
  <si>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</si>
  <si>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</si>
  <si>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</si>
  <si>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</si>
  <si>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</si>
  <si>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</si>
  <si>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</si>
  <si>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</si>
  <si>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</si>
  <si>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</si>
  <si>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</si>
  <si>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</si>
  <si>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</si>
  <si>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</si>
  <si>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</si>
  <si>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</si>
  <si>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</si>
  <si>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</si>
  <si>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</si>
  <si>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</si>
  <si>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</si>
  <si>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</si>
  <si>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</si>
  <si>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</si>
  <si>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</si>
  <si>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</si>
  <si>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</si>
  <si>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</si>
  <si>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</si>
  <si>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</si>
  <si>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</si>
  <si>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</si>
  <si>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</si>
  <si>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</si>
  <si>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</si>
  <si>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</si>
  <si>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</si>
  <si>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</si>
  <si>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</si>
  <si>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</si>
  <si>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</si>
  <si>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</si>
  <si>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</si>
  <si>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</si>
  <si>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</si>
  <si>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</si>
  <si>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</si>
  <si>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</si>
  <si>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</si>
  <si>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</si>
  <si>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</si>
  <si>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</si>
  <si>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</si>
  <si>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</si>
  <si>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</si>
  <si>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</si>
  <si>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</si>
  <si>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</si>
  <si>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</si>
  <si>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</si>
  <si>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</si>
  <si>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</si>
  <si>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</si>
  <si>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</si>
  <si>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</si>
  <si>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</si>
  <si>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</si>
  <si>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</si>
  <si>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</si>
  <si>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</si>
  <si>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</si>
  <si>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</si>
  <si>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</si>
  <si>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</si>
  <si>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</si>
  <si>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</si>
  <si>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</si>
  <si>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</si>
  <si>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</si>
  <si>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</si>
  <si>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</si>
  <si>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</si>
  <si>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</si>
  <si>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</si>
  <si>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</si>
  <si>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</si>
  <si>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</si>
  <si>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</si>
  <si>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</si>
  <si>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</si>
  <si>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</si>
  <si>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</si>
  <si>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</si>
  <si>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</si>
  <si>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</si>
  <si>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</si>
  <si>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</si>
  <si>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</si>
  <si>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</si>
  <si>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</si>
  <si>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</si>
  <si>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</si>
  <si>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</si>
  <si>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</si>
  <si>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</si>
  <si>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</si>
  <si>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</si>
  <si>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</si>
  <si>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</si>
  <si>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</si>
  <si>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</si>
  <si>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</si>
  <si>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</si>
  <si>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</si>
  <si>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</si>
  <si>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</si>
  <si>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</si>
  <si>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</si>
  <si>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</si>
  <si>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</si>
  <si>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</si>
  <si>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</si>
  <si>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</si>
  <si>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</si>
  <si>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</si>
  <si>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</si>
  <si>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</si>
  <si>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</si>
  <si>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</si>
  <si>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</si>
  <si>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</si>
  <si>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</si>
  <si>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</si>
  <si>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</si>
  <si>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</si>
  <si>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</si>
  <si>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</si>
  <si>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</si>
  <si>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</si>
  <si>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</si>
  <si>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</si>
  <si>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</si>
  <si>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</si>
  <si>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</si>
  <si>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</si>
  <si>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</si>
  <si>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</si>
  <si>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</si>
  <si>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</si>
  <si>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</si>
  <si>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</si>
  <si>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</si>
  <si>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</si>
  <si>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</si>
  <si>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</si>
  <si>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</si>
  <si>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</si>
  <si>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</si>
  <si>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</si>
  <si>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</si>
  <si>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</si>
  <si>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</si>
  <si>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</si>
  <si>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</si>
  <si>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</si>
  <si>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</si>
  <si>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</si>
  <si>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</si>
  <si>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</si>
  <si>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</si>
  <si>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</si>
  <si>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</si>
  <si>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</si>
  <si>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</si>
  <si>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</si>
  <si>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</si>
  <si>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</si>
  <si>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</si>
  <si>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</si>
  <si>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</si>
  <si>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</si>
  <si>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</si>
  <si>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</si>
  <si>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</si>
  <si>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</si>
  <si>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</si>
  <si>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</si>
  <si>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</si>
  <si>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</si>
  <si>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</si>
  <si>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</si>
  <si>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</si>
  <si>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</si>
  <si>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</si>
  <si>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</si>
  <si>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</si>
  <si>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</si>
  <si>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</si>
  <si>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</si>
  <si>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</si>
  <si>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</si>
  <si>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</si>
  <si>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</si>
  <si>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</si>
  <si>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</si>
  <si>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</si>
  <si>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</si>
  <si>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</si>
  <si>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</si>
  <si>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</si>
  <si>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</si>
  <si>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</si>
  <si>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</si>
  <si>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</si>
  <si>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</si>
  <si>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</si>
  <si>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</si>
  <si>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</si>
  <si>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</si>
  <si>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</si>
  <si>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</si>
  <si>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</si>
  <si>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</si>
  <si>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</si>
  <si>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</si>
  <si>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</si>
  <si>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</si>
  <si>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</si>
  <si>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</si>
  <si>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</si>
  <si>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</si>
  <si>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</si>
  <si>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</si>
  <si>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</si>
  <si>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</si>
  <si>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</si>
  <si>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</si>
  <si>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</si>
  <si>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</si>
  <si>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</si>
  <si>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</si>
  <si>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</si>
  <si>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</si>
  <si>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</si>
  <si>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</si>
  <si>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</si>
  <si>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</si>
  <si>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</si>
  <si>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</si>
  <si>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</si>
  <si>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</si>
  <si>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</si>
  <si>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</si>
  <si>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</si>
  <si>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</si>
  <si>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</si>
  <si>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</si>
  <si>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</si>
  <si>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</si>
  <si>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</si>
  <si>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</si>
  <si>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</si>
  <si>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</si>
  <si>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</si>
  <si>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</si>
  <si>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</si>
  <si>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</si>
  <si>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</si>
  <si>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</si>
  <si>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</si>
  <si>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</si>
  <si>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</si>
  <si>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</si>
  <si>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</si>
  <si>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</si>
  <si>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</si>
  <si>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</si>
  <si>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</si>
  <si>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</si>
  <si>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</si>
  <si>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</si>
  <si>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</si>
  <si>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</si>
  <si>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</si>
  <si>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</si>
  <si>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</si>
  <si>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</si>
  <si>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</si>
  <si>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</si>
  <si>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</si>
  <si>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</si>
  <si>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</si>
  <si>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</si>
  <si>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</si>
  <si>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</si>
  <si>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</si>
  <si>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</si>
  <si>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</si>
  <si>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</si>
  <si>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</si>
  <si>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</si>
  <si>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</si>
  <si>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</si>
  <si>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</si>
  <si>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</si>
  <si>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</si>
  <si>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</si>
  <si>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</si>
  <si>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</si>
  <si>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</si>
  <si>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</si>
  <si>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</si>
  <si>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</si>
  <si>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</si>
  <si>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</si>
  <si>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</si>
  <si>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</si>
  <si>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</si>
  <si>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</si>
  <si>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</si>
  <si>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</si>
  <si>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</si>
  <si>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</si>
  <si>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</si>
  <si>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</si>
  <si>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</si>
  <si>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</si>
  <si>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</si>
  <si>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</si>
  <si>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</si>
  <si>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</si>
  <si>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</si>
  <si>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</si>
  <si>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</si>
  <si>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</si>
  <si>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</si>
  <si>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</si>
  <si>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</si>
  <si>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</si>
  <si>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</si>
  <si>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</si>
  <si>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</si>
  <si>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</si>
  <si>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</si>
  <si>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</si>
  <si>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</si>
  <si>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</si>
  <si>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</si>
  <si>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</si>
  <si>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</si>
  <si>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</si>
  <si>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</si>
  <si>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</si>
  <si>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</si>
  <si>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</si>
  <si>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</si>
  <si>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</si>
  <si>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</si>
  <si>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</si>
  <si>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</si>
  <si>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</si>
  <si>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</si>
  <si>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</si>
  <si>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</si>
  <si>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</si>
  <si>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</si>
  <si>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</si>
  <si>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</si>
  <si>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</si>
  <si>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</si>
  <si>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</si>
  <si>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</si>
  <si>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</si>
  <si>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</si>
  <si>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</si>
  <si>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</si>
  <si>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</si>
  <si>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</si>
  <si>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</si>
  <si>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</si>
  <si>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</si>
  <si>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</si>
  <si>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</si>
  <si>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</si>
  <si>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</si>
  <si>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</si>
  <si>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</si>
  <si>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</si>
  <si>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</si>
  <si>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</si>
  <si>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</si>
  <si>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</si>
  <si>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</si>
  <si>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</si>
  <si>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</si>
  <si>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</si>
  <si>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</si>
  <si>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</si>
  <si>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</si>
  <si>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</si>
  <si>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</si>
  <si>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</si>
  <si>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</si>
  <si>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</si>
  <si>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</si>
  <si>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</si>
  <si>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</si>
  <si>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</si>
  <si>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</si>
  <si>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</si>
  <si>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</si>
  <si>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</si>
  <si>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</si>
  <si>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</si>
  <si>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</si>
  <si>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</si>
  <si>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</si>
  <si>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</si>
  <si>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</si>
  <si>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</si>
  <si>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</si>
  <si>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</si>
  <si>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</si>
  <si>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</si>
  <si>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</si>
  <si>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</si>
  <si>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</si>
  <si>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</si>
  <si>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</si>
  <si>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</si>
  <si>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</si>
  <si>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</si>
  <si>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</si>
  <si>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</si>
  <si>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</si>
  <si>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</si>
  <si>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</si>
  <si>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</si>
  <si>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</si>
  <si>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</si>
  <si>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</si>
  <si>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</si>
  <si>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</si>
  <si>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</si>
  <si>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</si>
  <si>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</si>
  <si>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</si>
  <si>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</si>
  <si>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</si>
  <si>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</si>
  <si>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</si>
  <si>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</si>
  <si>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</si>
  <si>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</si>
  <si>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</si>
  <si>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</si>
  <si>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</si>
  <si>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</si>
  <si>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</si>
  <si>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</si>
  <si>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</si>
  <si>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</si>
  <si>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</si>
  <si>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</si>
  <si>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</si>
  <si>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</si>
  <si>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</si>
  <si>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</si>
  <si>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</si>
  <si>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</si>
  <si>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</si>
  <si>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</si>
  <si>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</si>
  <si>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</si>
  <si>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</si>
  <si>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</si>
  <si>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</si>
  <si>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</si>
  <si>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</si>
  <si>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</si>
  <si>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</si>
  <si>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</si>
  <si>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</si>
  <si>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</si>
  <si>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</si>
  <si>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</si>
  <si>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</si>
  <si>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</si>
  <si>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</si>
  <si>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</si>
  <si>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</si>
  <si>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</si>
  <si>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</si>
  <si>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</si>
  <si>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</si>
  <si>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</si>
  <si>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</si>
  <si>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</si>
  <si>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</si>
  <si>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</si>
  <si>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</si>
  <si>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</si>
  <si>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</si>
  <si>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</si>
  <si>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</si>
  <si>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</si>
  <si>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</si>
  <si>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</si>
  <si>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</si>
  <si>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</si>
  <si>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</si>
  <si>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</si>
  <si>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</si>
  <si>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</si>
  <si>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</si>
  <si>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</si>
  <si>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</si>
  <si>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</si>
  <si>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</si>
  <si>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</si>
  <si>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</si>
  <si>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</si>
  <si>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</si>
  <si>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</si>
  <si>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</si>
  <si>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</si>
  <si>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</si>
  <si>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</si>
  <si>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</si>
  <si>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</si>
  <si>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</si>
  <si>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</si>
  <si>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</si>
  <si>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</si>
  <si>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</si>
  <si>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</si>
  <si>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</si>
  <si>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</si>
  <si>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</si>
  <si>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</si>
  <si>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</si>
  <si>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</si>
  <si>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</si>
  <si>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</si>
  <si>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</si>
  <si>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</si>
  <si>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</si>
  <si>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</si>
  <si>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</si>
  <si>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</si>
  <si>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</si>
  <si>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</si>
  <si>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</si>
  <si>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</si>
  <si>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</si>
  <si>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</si>
  <si>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</si>
  <si>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</si>
  <si>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</si>
  <si>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</si>
  <si>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</si>
  <si>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</si>
  <si>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</si>
  <si>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</si>
  <si>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</si>
  <si>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</si>
  <si>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</si>
  <si>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</si>
  <si>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</si>
  <si>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</si>
  <si>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</si>
  <si>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</si>
  <si>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</si>
  <si>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</si>
  <si>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</si>
  <si>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</si>
  <si>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</si>
  <si>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</si>
  <si>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</si>
  <si>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</si>
  <si>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</si>
  <si>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</si>
  <si>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</si>
  <si>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</si>
  <si>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</si>
  <si>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</si>
  <si>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</si>
  <si>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</si>
  <si>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</si>
  <si>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</si>
  <si>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</si>
  <si>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</si>
  <si>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</si>
  <si>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</si>
  <si>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</si>
  <si>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</si>
  <si>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</si>
  <si>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</si>
  <si>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</si>
  <si>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</si>
  <si>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</si>
  <si>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</si>
  <si>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</si>
  <si>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</si>
  <si>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</si>
  <si>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</si>
  <si>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</si>
  <si>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</si>
  <si>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</si>
  <si>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</si>
  <si>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</si>
  <si>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</si>
  <si>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</si>
  <si>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</si>
  <si>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</si>
  <si>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</si>
  <si>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</si>
  <si>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</si>
  <si>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</si>
  <si>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</si>
  <si>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</si>
  <si>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</si>
  <si>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</si>
  <si>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</si>
  <si>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</si>
  <si>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</si>
  <si>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</si>
  <si>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</si>
  <si>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</si>
  <si>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</si>
  <si>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</si>
  <si>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</si>
  <si>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</si>
  <si>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</si>
  <si>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</si>
  <si>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</si>
  <si>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</si>
  <si>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</si>
  <si>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</si>
  <si>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</si>
  <si>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</si>
  <si>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</si>
  <si>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</si>
  <si>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</si>
  <si>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</si>
  <si>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</si>
  <si>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</si>
  <si>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</si>
  <si>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</si>
  <si>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</si>
  <si>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</si>
  <si>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</si>
  <si>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</si>
  <si>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</si>
  <si>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</si>
  <si>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</si>
  <si>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</si>
  <si>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</si>
  <si>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</si>
  <si>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</si>
  <si>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</si>
  <si>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</si>
  <si>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</si>
  <si>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</si>
  <si>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</si>
  <si>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</si>
  <si>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</si>
  <si>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</si>
  <si>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</si>
  <si>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</si>
  <si>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</si>
  <si>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</si>
  <si>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</si>
  <si>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</si>
  <si>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</si>
  <si>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</si>
  <si>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</si>
  <si>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</si>
  <si>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</si>
  <si>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</si>
  <si>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</si>
  <si>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</si>
  <si>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</si>
  <si>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</si>
  <si>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</si>
  <si>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</si>
  <si>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</si>
  <si>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</si>
  <si>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</si>
  <si>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</si>
  <si>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</si>
  <si>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</si>
  <si>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</si>
  <si>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</si>
  <si>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</si>
  <si>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</si>
  <si>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</si>
  <si>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</si>
  <si>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</si>
  <si>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</si>
  <si>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</si>
  <si>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</si>
  <si>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</si>
  <si>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</si>
  <si>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</si>
  <si>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</si>
  <si>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</si>
  <si>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</si>
  <si>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</si>
  <si>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</si>
  <si>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</si>
  <si>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</si>
  <si>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</si>
  <si>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</si>
  <si>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</si>
  <si>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</si>
  <si>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</si>
  <si>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</si>
  <si>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</si>
  <si>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</si>
  <si>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</si>
  <si>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</si>
  <si>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</si>
  <si>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</si>
  <si>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</si>
  <si>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</si>
  <si>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</si>
  <si>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</si>
  <si>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</si>
  <si>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</si>
  <si>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</si>
  <si>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</si>
  <si>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</si>
  <si>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</si>
  <si>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</si>
  <si>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</si>
  <si>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</si>
  <si>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</si>
  <si>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</si>
  <si>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</si>
  <si>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</si>
  <si>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</si>
  <si>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</si>
  <si>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</si>
  <si>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</si>
  <si>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</si>
  <si>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</si>
  <si>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</si>
  <si>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</si>
  <si>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</si>
  <si>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</si>
  <si>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</si>
  <si>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</si>
  <si>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</si>
  <si>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</si>
  <si>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</si>
  <si>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</si>
  <si>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</si>
  <si>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</si>
  <si>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</si>
  <si>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</si>
  <si>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</si>
  <si>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</si>
  <si>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</si>
  <si>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</si>
  <si>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</si>
  <si>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</si>
  <si>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</si>
  <si>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</si>
  <si>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</si>
  <si>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</si>
  <si>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</si>
  <si>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</si>
  <si>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</si>
  <si>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</si>
  <si>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</si>
  <si>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</si>
  <si>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</si>
  <si>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</si>
  <si>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</si>
  <si>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</si>
  <si>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</si>
  <si>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</si>
  <si>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</si>
  <si>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</si>
  <si>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</si>
  <si>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</si>
  <si>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</si>
  <si>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</si>
  <si>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</si>
  <si>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</si>
  <si>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</si>
  <si>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</si>
  <si>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</si>
  <si>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</si>
  <si>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</si>
  <si>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</si>
  <si>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</si>
  <si>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</si>
  <si>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</si>
  <si>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</si>
  <si>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</si>
  <si>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</si>
  <si>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</si>
  <si>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</si>
  <si>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</si>
  <si>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</si>
  <si>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</si>
  <si>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</si>
  <si>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</si>
  <si>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</si>
  <si>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</si>
  <si>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</si>
  <si>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</si>
  <si>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</si>
  <si>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</si>
  <si>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</si>
  <si>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</si>
  <si>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</si>
  <si>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</si>
  <si>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</si>
  <si>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</si>
  <si>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</si>
  <si>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</si>
  <si>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</si>
  <si>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</si>
  <si>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</si>
  <si>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</si>
  <si>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</si>
  <si>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</si>
  <si>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</si>
  <si>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</si>
  <si>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</si>
  <si>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</si>
  <si>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</si>
  <si>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</si>
  <si>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</si>
  <si>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</si>
  <si>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</si>
  <si>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</si>
  <si>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</si>
  <si>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</si>
  <si>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</si>
  <si>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</si>
  <si>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</si>
  <si>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</si>
  <si>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</si>
  <si>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</si>
  <si>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</si>
  <si>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</si>
  <si>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</si>
  <si>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</si>
  <si>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</si>
  <si>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</si>
  <si>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</si>
  <si>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</si>
  <si>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</si>
  <si>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</si>
  <si>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</si>
  <si>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</si>
  <si>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</si>
  <si>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</si>
  <si>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</si>
  <si>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</si>
  <si>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</si>
  <si>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</si>
  <si>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</si>
  <si>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</si>
  <si>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</si>
  <si>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</si>
  <si>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</si>
  <si>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</si>
  <si>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</si>
  <si>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</si>
  <si>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</si>
  <si>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</si>
  <si>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</si>
  <si>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</si>
  <si>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</si>
  <si>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</si>
  <si>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</si>
  <si>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</si>
  <si>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</si>
  <si>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</si>
  <si>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</si>
  <si>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</si>
  <si>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</si>
  <si>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</si>
  <si>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</si>
  <si>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</si>
  <si>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</si>
  <si>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</si>
  <si>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</si>
  <si>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</si>
  <si>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</si>
  <si>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</si>
  <si>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</si>
  <si>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</si>
  <si>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</si>
  <si>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</si>
  <si>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</si>
  <si>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</si>
  <si>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</si>
  <si>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</si>
  <si>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</si>
  <si>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</si>
  <si>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</si>
  <si>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</si>
  <si>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</si>
  <si>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</si>
  <si>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</si>
  <si>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</si>
  <si>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</si>
  <si>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</si>
  <si>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</si>
  <si>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</si>
  <si>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</si>
  <si>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</si>
  <si>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</si>
  <si>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</si>
  <si>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</si>
  <si>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</si>
  <si>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</si>
  <si>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</si>
  <si>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</si>
  <si>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</si>
  <si>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</si>
  <si>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</si>
  <si>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</si>
  <si>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</si>
  <si>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</si>
  <si>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</si>
  <si>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</si>
  <si>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</si>
  <si>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</si>
  <si>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</si>
  <si>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</si>
  <si>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</si>
  <si>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</si>
  <si>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</si>
  <si>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</si>
  <si>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</si>
  <si>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</si>
  <si>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</si>
  <si>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</si>
  <si>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</si>
  <si>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</si>
  <si>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</si>
  <si>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</si>
  <si>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</si>
  <si>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</si>
  <si>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</si>
  <si>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</si>
  <si>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</si>
  <si>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</si>
  <si>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</si>
  <si>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</si>
  <si>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</si>
  <si>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</si>
  <si>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</si>
  <si>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</si>
  <si>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</si>
  <si>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</si>
  <si>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</si>
  <si>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</si>
  <si>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</si>
  <si>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</si>
  <si>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</si>
  <si>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</si>
  <si>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</si>
  <si>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</si>
  <si>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</si>
  <si>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</si>
  <si>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</si>
  <si>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</si>
  <si>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</si>
  <si>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</si>
  <si>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</si>
  <si>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</si>
  <si>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</si>
  <si>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</si>
  <si>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</si>
  <si>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</si>
  <si>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</si>
  <si>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</si>
  <si>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</si>
  <si>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</si>
  <si>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</si>
  <si>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</si>
  <si>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</si>
  <si>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</si>
  <si>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</si>
  <si>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</si>
  <si>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</si>
  <si>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</si>
  <si>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</si>
  <si>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</si>
  <si>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</si>
  <si>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</si>
  <si>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</si>
  <si>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</si>
  <si>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</si>
  <si>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</si>
  <si>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</si>
  <si>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</si>
  <si>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</si>
  <si>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</si>
  <si>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</si>
  <si>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</si>
  <si>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</si>
  <si>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</si>
  <si>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</si>
  <si>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</si>
  <si>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</si>
  <si>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</si>
  <si>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</si>
  <si>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</si>
  <si>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</si>
  <si>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</si>
  <si>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</si>
  <si>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</si>
  <si>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</si>
  <si>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</si>
  <si>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</si>
  <si>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</si>
  <si>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</si>
  <si>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</si>
  <si>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</si>
  <si>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</si>
  <si>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</si>
  <si>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</si>
  <si>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</si>
  <si>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</si>
  <si>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</si>
  <si>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</si>
  <si>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</si>
  <si>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</si>
  <si>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</si>
  <si>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</si>
  <si>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</si>
  <si>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</si>
  <si>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</si>
  <si>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</si>
  <si>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</si>
  <si>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</si>
  <si>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</si>
  <si>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</si>
  <si>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</si>
  <si>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</si>
  <si>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</si>
  <si>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</si>
  <si>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</si>
  <si>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</si>
  <si>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</si>
  <si>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</si>
  <si>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</si>
  <si>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</si>
  <si>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</si>
  <si>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</si>
  <si>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</si>
  <si>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</si>
  <si>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</si>
  <si>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</si>
  <si>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</si>
  <si>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</si>
  <si>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</si>
  <si>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</si>
  <si>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</si>
  <si>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</si>
  <si>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</si>
  <si>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</si>
  <si>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</si>
  <si>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</si>
  <si>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</si>
  <si>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</si>
  <si>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</si>
  <si>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</si>
  <si>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</si>
  <si>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</si>
  <si>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</si>
  <si>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</si>
  <si>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</si>
  <si>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</si>
  <si>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</si>
  <si>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</si>
  <si>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</si>
  <si>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</si>
  <si>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</si>
  <si>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</si>
  <si>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</si>
  <si>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</si>
  <si>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</si>
  <si>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</si>
  <si>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</si>
  <si>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</si>
  <si>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</si>
  <si>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</si>
  <si>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</si>
  <si>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</si>
  <si>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</si>
  <si>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</si>
  <si>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</si>
  <si>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</si>
  <si>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</si>
  <si>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</si>
  <si>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</si>
  <si>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</si>
  <si>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</si>
  <si>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</si>
  <si>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</si>
  <si>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</si>
  <si>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</si>
  <si>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</si>
  <si>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</si>
  <si>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</si>
  <si>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</si>
  <si>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</si>
  <si>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</si>
  <si>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</si>
  <si>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</si>
  <si>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</si>
  <si>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</si>
  <si>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</si>
  <si>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</si>
  <si>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</si>
  <si>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</si>
  <si>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</si>
  <si>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</si>
  <si>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</si>
  <si>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</si>
  <si>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</si>
  <si>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</si>
  <si>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</si>
  <si>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</si>
  <si>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</si>
  <si>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</si>
  <si>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</si>
  <si>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</si>
  <si>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</si>
  <si>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</si>
  <si>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</si>
  <si>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</si>
  <si>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</si>
  <si>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</si>
  <si>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</si>
  <si>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</si>
  <si>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</si>
  <si>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</si>
  <si>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</si>
  <si>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</si>
  <si>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</si>
  <si>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</si>
  <si>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</si>
  <si>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</si>
  <si>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</si>
  <si>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</si>
  <si>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</si>
  <si>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</si>
  <si>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</si>
  <si>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</si>
  <si>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</si>
  <si>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</si>
  <si>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</si>
  <si>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</si>
  <si>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</si>
  <si>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</si>
  <si>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</si>
  <si>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</si>
  <si>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</si>
  <si>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</si>
  <si>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</si>
  <si>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</si>
  <si>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</si>
  <si>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</si>
  <si>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</si>
  <si>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</si>
  <si>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</si>
  <si>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</si>
  <si>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</si>
  <si>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</si>
  <si>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</si>
  <si>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</si>
  <si>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</si>
  <si>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</si>
  <si>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</si>
  <si>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</si>
  <si>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</si>
  <si>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</si>
  <si>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</si>
  <si>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</si>
  <si>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</si>
  <si>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</si>
  <si>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</si>
  <si>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</si>
  <si>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</si>
  <si>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</si>
  <si>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</si>
  <si>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</si>
  <si>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</si>
  <si>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</si>
  <si>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</si>
  <si>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</si>
  <si>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</si>
  <si>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</si>
  <si>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</si>
  <si>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</si>
  <si>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</si>
  <si>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</si>
  <si>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</si>
  <si>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</si>
  <si>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</si>
  <si>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</si>
  <si>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</si>
  <si>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</si>
  <si>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</si>
  <si>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</si>
  <si>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</si>
  <si>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</si>
  <si>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</si>
  <si>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</si>
  <si>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</si>
  <si>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</si>
  <si>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</si>
  <si>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</si>
  <si>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</si>
  <si>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</si>
  <si>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</si>
  <si>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</si>
  <si>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</si>
  <si>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</si>
  <si>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</si>
  <si>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</si>
  <si>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</si>
  <si>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</si>
  <si>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</si>
  <si>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</si>
  <si>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</si>
  <si>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</si>
  <si>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</si>
  <si>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</si>
  <si>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</si>
  <si>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</si>
  <si>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</si>
  <si>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</si>
  <si>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</si>
  <si>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</si>
  <si>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</si>
  <si>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</si>
  <si>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</si>
  <si>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</si>
  <si>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</si>
  <si>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</si>
  <si>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</si>
  <si>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</si>
  <si>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</si>
  <si>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</si>
  <si>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</si>
  <si>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</si>
  <si>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</si>
  <si>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</si>
  <si>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</si>
  <si>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</si>
  <si>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</si>
  <si>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</si>
  <si>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</si>
  <si>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</si>
  <si>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</si>
  <si>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</si>
  <si>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</si>
  <si>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</si>
  <si>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</si>
  <si>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</si>
  <si>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</si>
  <si>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</si>
  <si>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</si>
  <si>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</si>
  <si>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</si>
  <si>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</si>
  <si>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</si>
  <si>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</si>
  <si>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</si>
  <si>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</si>
  <si>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</si>
  <si>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</si>
  <si>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</si>
  <si>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</si>
  <si>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</si>
  <si>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</si>
  <si>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</si>
  <si>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</si>
  <si>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</si>
  <si>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</si>
  <si>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</si>
  <si>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</si>
  <si>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</si>
  <si>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</si>
  <si>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</si>
  <si>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</si>
  <si>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</si>
  <si>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</si>
  <si>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</si>
  <si>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</si>
  <si>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</si>
  <si>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</si>
  <si>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</si>
  <si>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</si>
  <si>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</si>
  <si>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</si>
  <si>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</si>
  <si>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</si>
  <si>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</si>
  <si>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</si>
  <si>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</si>
  <si>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</si>
  <si>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</si>
  <si>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</si>
  <si>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</si>
  <si>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</si>
  <si>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</si>
  <si>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</si>
  <si>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</si>
  <si>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</si>
  <si>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</si>
  <si>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</si>
  <si>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</si>
  <si>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</si>
  <si>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</si>
  <si>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</si>
  <si>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</si>
  <si>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</si>
  <si>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</si>
  <si>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</si>
  <si>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</si>
  <si>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</si>
  <si>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</si>
  <si>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</si>
  <si>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</si>
  <si>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</si>
  <si>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</si>
  <si>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</si>
  <si>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</si>
  <si>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</si>
  <si>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</si>
  <si>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</si>
  <si>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</si>
  <si>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</si>
  <si>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</si>
  <si>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</si>
  <si>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</si>
  <si>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</si>
  <si>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</si>
  <si>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</si>
  <si>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</si>
  <si>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</si>
  <si>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</si>
  <si>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</si>
  <si>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</si>
  <si>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</si>
  <si>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</si>
  <si>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</si>
  <si>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</si>
  <si>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</si>
  <si>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</si>
  <si>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</si>
  <si>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</si>
  <si>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</si>
  <si>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</si>
  <si>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</si>
  <si>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</si>
  <si>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</si>
  <si>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</si>
  <si>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</si>
  <si>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</si>
  <si>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</si>
  <si>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</si>
  <si>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</si>
  <si>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</si>
  <si>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</si>
  <si>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</si>
  <si>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</si>
  <si>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</si>
  <si>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</si>
  <si>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</si>
  <si>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</si>
  <si>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</si>
  <si>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</si>
  <si>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</si>
  <si>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</si>
  <si>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</si>
  <si>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</si>
  <si>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</si>
  <si>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</si>
  <si>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</si>
  <si>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</si>
  <si>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</si>
  <si>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</si>
  <si>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</si>
  <si>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</si>
  <si>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</si>
  <si>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</si>
  <si>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</si>
  <si>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</si>
  <si>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</si>
  <si>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</si>
  <si>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</si>
  <si>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</si>
  <si>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</si>
  <si>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</si>
  <si>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</si>
  <si>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</si>
  <si>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</si>
  <si>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</si>
  <si>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</si>
  <si>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</si>
  <si>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</si>
  <si>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</si>
  <si>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</si>
  <si>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</si>
  <si>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</si>
  <si>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</si>
  <si>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</si>
  <si>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</si>
  <si>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</si>
  <si>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</si>
  <si>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</si>
  <si>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</si>
  <si>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</si>
  <si>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</si>
  <si>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</si>
  <si>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</si>
  <si>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</si>
  <si>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</si>
  <si>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</si>
  <si>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</si>
  <si>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</si>
  <si>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</si>
  <si>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</si>
  <si>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</si>
  <si>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</si>
  <si>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</si>
  <si>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</si>
  <si>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</si>
  <si>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</si>
  <si>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</si>
  <si>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</si>
  <si>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</si>
  <si>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</si>
  <si>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</si>
  <si>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</si>
  <si>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</si>
  <si>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</si>
  <si>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</si>
  <si>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</si>
  <si>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</si>
  <si>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</si>
  <si>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</si>
  <si>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</si>
  <si>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</si>
  <si>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</si>
  <si>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</si>
  <si>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</si>
  <si>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</si>
  <si>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</si>
  <si>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</si>
  <si>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</si>
  <si>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</si>
  <si>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</si>
  <si>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</si>
  <si>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</si>
  <si>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</si>
  <si>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</si>
  <si>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</si>
  <si>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</si>
  <si>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</si>
  <si>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</si>
  <si>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</si>
  <si>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</si>
  <si>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</si>
  <si>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</si>
  <si>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</si>
  <si>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</si>
  <si>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</si>
  <si>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</si>
  <si>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</si>
  <si>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</si>
  <si>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</si>
  <si>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</si>
  <si>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</si>
  <si>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</si>
  <si>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</si>
  <si>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</si>
  <si>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</si>
  <si>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</si>
  <si>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</si>
  <si>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</si>
  <si>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</si>
  <si>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</si>
  <si>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</si>
  <si>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</si>
  <si>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</si>
  <si>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</si>
  <si>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</si>
  <si>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</si>
  <si>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</si>
  <si>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</si>
  <si>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</si>
  <si>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</si>
  <si>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</si>
  <si>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</si>
  <si>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</si>
  <si>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</si>
  <si>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</si>
  <si>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</si>
  <si>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</si>
  <si>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</si>
  <si>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</si>
  <si>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</si>
  <si>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</si>
  <si>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</si>
  <si>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</si>
  <si>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</si>
  <si>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</si>
  <si>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</si>
  <si>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</si>
  <si>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</si>
  <si>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</si>
  <si>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</si>
  <si>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</si>
  <si>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</si>
  <si>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</si>
  <si>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</si>
  <si>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</si>
  <si>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</si>
  <si>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</si>
  <si>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</si>
  <si>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</si>
  <si>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</si>
  <si>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</si>
  <si>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</si>
  <si>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</si>
  <si>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</si>
  <si>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</si>
  <si>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</si>
  <si>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</si>
  <si>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</si>
  <si>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</si>
  <si>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</si>
  <si>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</si>
  <si>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</si>
  <si>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</si>
  <si>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</si>
  <si>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</si>
  <si>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</si>
  <si>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</si>
  <si>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</si>
  <si>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</si>
  <si>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</si>
  <si>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</si>
  <si>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</si>
  <si>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</si>
  <si>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</si>
  <si>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</si>
  <si>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</si>
  <si>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</si>
  <si>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</si>
  <si>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</si>
  <si>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</si>
  <si>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</si>
  <si>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</si>
  <si>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</si>
  <si>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</si>
  <si>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</si>
  <si>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</si>
  <si>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</si>
  <si>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</si>
  <si>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</si>
  <si>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</si>
  <si>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</si>
  <si>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</si>
  <si>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</si>
  <si>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</si>
  <si>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</si>
  <si>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</si>
  <si>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</si>
  <si>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</si>
  <si>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</si>
  <si>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</si>
  <si>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</si>
  <si>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</si>
  <si>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</si>
  <si>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</si>
  <si>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</si>
  <si>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</si>
  <si>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</si>
  <si>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</si>
  <si>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</si>
  <si>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</si>
  <si>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</si>
  <si>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</si>
  <si>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</si>
  <si>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</si>
  <si>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</si>
  <si>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</si>
  <si>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</si>
  <si>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</si>
  <si>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</si>
  <si>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</si>
  <si>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</si>
  <si>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</si>
  <si>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</si>
  <si>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</si>
  <si>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</si>
  <si>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</si>
  <si>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</si>
  <si>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</si>
  <si>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</si>
  <si>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</si>
  <si>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</si>
  <si>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</si>
  <si>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</si>
  <si>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</si>
  <si>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</si>
  <si>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</si>
  <si>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</si>
  <si>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</si>
  <si>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</si>
  <si>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</si>
  <si>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</si>
  <si>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</si>
  <si>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</si>
  <si>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</si>
  <si>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</si>
  <si>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</si>
  <si>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</si>
  <si>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</si>
  <si>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</si>
  <si>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</si>
  <si>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</si>
  <si>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</si>
  <si>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</si>
  <si>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</si>
  <si>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</si>
  <si>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</si>
  <si>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</si>
  <si>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</si>
  <si>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</si>
  <si>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</si>
  <si>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</si>
  <si>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</si>
  <si>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</si>
  <si>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</si>
  <si>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</si>
  <si>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</si>
  <si>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</si>
  <si>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</si>
  <si>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</si>
  <si>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</si>
  <si>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</si>
  <si>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</si>
  <si>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</si>
  <si>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</si>
  <si>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</si>
  <si>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</si>
  <si>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</si>
  <si>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</si>
  <si>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</si>
  <si>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</si>
  <si>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</si>
  <si>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</si>
  <si>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</si>
  <si>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</si>
  <si>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</si>
  <si>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</si>
  <si>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</si>
  <si>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</si>
  <si>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</si>
  <si>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</si>
  <si>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</si>
  <si>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</si>
  <si>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</si>
  <si>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</si>
  <si>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</si>
  <si>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</si>
  <si>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</si>
  <si>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</si>
  <si>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</si>
  <si>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</si>
  <si>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</si>
  <si>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</si>
  <si>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</si>
  <si>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</si>
  <si>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</si>
  <si>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</si>
  <si>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</si>
  <si>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</si>
  <si>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</si>
  <si>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</si>
  <si>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</si>
  <si>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</si>
  <si>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</si>
  <si>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</si>
  <si>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</si>
  <si>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</si>
  <si>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</si>
  <si>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</si>
  <si>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</si>
  <si>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</si>
  <si>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</si>
  <si>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</si>
  <si>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</si>
  <si>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</si>
  <si>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</si>
  <si>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</si>
  <si>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</si>
  <si>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</si>
  <si>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</si>
  <si>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</si>
  <si>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</si>
  <si>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</si>
  <si>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</si>
  <si>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</si>
  <si>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</si>
  <si>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</si>
  <si>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</si>
  <si>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</si>
  <si>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</si>
  <si>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</si>
  <si>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</si>
  <si>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</si>
  <si>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</si>
  <si>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</si>
  <si>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</si>
  <si>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</si>
  <si>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</si>
  <si>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</si>
  <si>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</si>
  <si>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</si>
  <si>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</si>
  <si>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</si>
  <si>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</si>
  <si>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</si>
  <si>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</si>
  <si>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</si>
  <si>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</si>
  <si>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</si>
  <si>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</si>
  <si>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</si>
  <si>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</si>
  <si>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</si>
  <si>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</si>
  <si>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</si>
  <si>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</si>
  <si>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</si>
  <si>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</si>
  <si>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</si>
  <si>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</si>
  <si>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</si>
  <si>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</si>
  <si>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</si>
  <si>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</si>
  <si>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</si>
  <si>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</si>
  <si>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</si>
  <si>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</si>
  <si>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</si>
  <si>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</si>
  <si>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</si>
  <si>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</si>
  <si>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</si>
  <si>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</si>
  <si>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</si>
  <si>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</si>
  <si>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</si>
  <si>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</si>
  <si>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</si>
  <si>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</si>
  <si>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</si>
  <si>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</si>
  <si>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</si>
  <si>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</si>
  <si>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</si>
  <si>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</si>
  <si>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</si>
  <si>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</si>
  <si>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</si>
  <si>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</si>
  <si>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</si>
  <si>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</si>
  <si>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</si>
  <si>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</si>
  <si>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</si>
  <si>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</si>
  <si>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</si>
  <si>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</si>
  <si>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</si>
  <si>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</si>
  <si>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</si>
  <si>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</si>
  <si>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</si>
  <si>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</si>
  <si>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</si>
  <si>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</si>
  <si>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</si>
  <si>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</si>
  <si>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</si>
  <si>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</si>
  <si>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</si>
  <si>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</si>
  <si>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</si>
  <si>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</si>
  <si>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</si>
  <si>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</si>
  <si>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</si>
  <si>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</si>
  <si>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</si>
  <si>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</si>
  <si>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</si>
  <si>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</si>
  <si>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</si>
  <si>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</si>
  <si>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</si>
  <si>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</si>
  <si>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</si>
  <si>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</si>
  <si>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</si>
  <si>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</si>
  <si>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</si>
  <si>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</si>
  <si>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</si>
  <si>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</si>
  <si>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</si>
  <si>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</si>
  <si>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</si>
  <si>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</si>
  <si>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</si>
  <si>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</si>
  <si>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</si>
  <si>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</si>
  <si>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</si>
  <si>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</si>
  <si>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</si>
  <si>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</si>
  <si>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</si>
  <si>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</si>
  <si>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</si>
  <si>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</si>
  <si>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</si>
  <si>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</si>
  <si>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</si>
  <si>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</si>
  <si>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</si>
  <si>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</si>
  <si>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</si>
  <si>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</si>
  <si>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</si>
  <si>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</si>
  <si>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</si>
  <si>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</si>
  <si>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</si>
  <si>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</si>
  <si>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</si>
  <si>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</si>
  <si>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</si>
  <si>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</si>
  <si>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</si>
  <si>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</si>
  <si>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</si>
  <si>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</si>
  <si>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</si>
  <si>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</si>
  <si>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</si>
  <si>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</si>
  <si>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</si>
  <si>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</si>
  <si>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</si>
  <si>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</si>
  <si>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</si>
  <si>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</si>
  <si>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</si>
  <si>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</si>
  <si>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</si>
  <si>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</si>
  <si>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</si>
  <si>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</si>
  <si>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</si>
  <si>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</si>
  <si>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</si>
  <si>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</si>
  <si>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</si>
  <si>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</si>
  <si>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</si>
  <si>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</si>
  <si>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</si>
  <si>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</si>
  <si>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</si>
  <si>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</si>
  <si>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</si>
  <si>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</si>
  <si>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</si>
  <si>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</si>
  <si>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</si>
  <si>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</si>
  <si>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</si>
  <si>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</si>
  <si>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</si>
  <si>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</si>
  <si>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</si>
  <si>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</si>
  <si>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</si>
  <si>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</si>
  <si>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</si>
  <si>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</si>
  <si>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</si>
  <si>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</si>
  <si>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</si>
  <si>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</si>
  <si>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</si>
  <si>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</si>
  <si>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</si>
  <si>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</si>
  <si>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</si>
  <si>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</si>
  <si>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</si>
  <si>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</si>
  <si>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</si>
  <si>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</si>
  <si>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</si>
  <si>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</si>
  <si>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</si>
  <si>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</si>
  <si>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</si>
  <si>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</si>
  <si>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</si>
  <si>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</si>
  <si>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</si>
  <si>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</si>
  <si>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</si>
  <si>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</si>
  <si>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</si>
  <si>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</si>
  <si>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</si>
  <si>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</si>
  <si>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</si>
  <si>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</si>
  <si>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</si>
  <si>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</si>
  <si>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</si>
  <si>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</si>
  <si>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</si>
  <si>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</si>
  <si>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</si>
  <si>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</si>
  <si>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</si>
  <si>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</si>
  <si>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</si>
  <si>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</si>
  <si>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</si>
  <si>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</si>
  <si>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</si>
  <si>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</si>
  <si>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</si>
  <si>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</si>
  <si>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</si>
  <si>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</si>
  <si>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</si>
  <si>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</si>
  <si>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</si>
  <si>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</si>
  <si>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</si>
  <si>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</si>
  <si>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</si>
  <si>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</si>
  <si>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</si>
  <si>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</si>
  <si>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</si>
  <si>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</si>
  <si>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</si>
  <si>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</si>
  <si>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</si>
  <si>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</si>
  <si>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</si>
  <si>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</si>
  <si>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</si>
  <si>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</si>
  <si>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</si>
  <si>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</si>
  <si>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</si>
  <si>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</si>
  <si>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</si>
  <si>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</si>
  <si>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</si>
  <si>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</si>
  <si>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</si>
  <si>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</si>
  <si>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</si>
  <si>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</si>
  <si>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</si>
  <si>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</si>
  <si>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</si>
  <si>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</si>
  <si>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</si>
  <si>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</si>
  <si>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</si>
  <si>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</si>
  <si>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</si>
  <si>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</si>
  <si>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</si>
  <si>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</si>
  <si>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</si>
  <si>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</si>
  <si>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</si>
  <si>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</si>
  <si>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</si>
  <si>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</si>
  <si>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</si>
  <si>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</si>
  <si>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</si>
  <si>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</si>
  <si>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</si>
  <si>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</si>
  <si>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</si>
  <si>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</si>
  <si>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</si>
  <si>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</si>
  <si>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</si>
  <si>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</si>
  <si>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</si>
  <si>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</si>
  <si>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</si>
  <si>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</si>
  <si>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</si>
  <si>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</si>
  <si>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</si>
  <si>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</si>
  <si>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</si>
  <si>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</si>
  <si>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</si>
  <si>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</si>
  <si>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</si>
  <si>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</si>
  <si>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</si>
  <si>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</si>
  <si>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</si>
  <si>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</si>
  <si>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</si>
  <si>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</si>
  <si>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</si>
  <si>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</si>
  <si>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</si>
  <si>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</si>
  <si>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</si>
  <si>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</si>
  <si>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</si>
  <si>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</si>
  <si>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</si>
  <si>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</si>
  <si>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</si>
  <si>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</si>
  <si>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</si>
  <si>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</si>
  <si>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</si>
  <si>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</si>
  <si>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</si>
  <si>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</si>
  <si>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</si>
  <si>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</si>
  <si>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</si>
  <si>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</si>
  <si>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</si>
  <si>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</si>
  <si>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</si>
  <si>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</si>
  <si>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</si>
  <si>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</si>
  <si>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</si>
  <si>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</si>
  <si>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</si>
  <si>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</si>
  <si>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</si>
  <si>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</si>
  <si>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</si>
  <si>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</si>
  <si>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</si>
  <si>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</si>
  <si>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</si>
  <si>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</si>
  <si>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</si>
  <si>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</si>
  <si>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</si>
  <si>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</si>
  <si>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</si>
  <si>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</si>
  <si>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</si>
  <si>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</si>
  <si>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</si>
  <si>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</si>
  <si>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</si>
  <si>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</si>
  <si>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</si>
  <si>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</si>
  <si>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</si>
  <si>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</si>
  <si>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</si>
  <si>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</si>
  <si>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</si>
  <si>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</si>
  <si>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</si>
  <si>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</si>
  <si>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</si>
  <si>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</si>
  <si>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</si>
  <si>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</si>
  <si>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</si>
  <si>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</si>
  <si>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</si>
  <si>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</si>
  <si>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</si>
  <si>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</si>
  <si>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</si>
  <si>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</si>
  <si>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</si>
  <si>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</si>
  <si>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</si>
  <si>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</si>
  <si>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</si>
  <si>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</si>
  <si>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</si>
  <si>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</si>
  <si>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</si>
  <si>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</si>
  <si>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</si>
  <si>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</si>
  <si>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</si>
  <si>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</si>
  <si>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</si>
  <si>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</si>
  <si>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</si>
  <si>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</si>
  <si>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</si>
  <si>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</si>
  <si>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</si>
  <si>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</si>
  <si>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</si>
  <si>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</si>
  <si>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</si>
  <si>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</si>
  <si>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</si>
  <si>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</si>
  <si>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</si>
  <si>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</si>
  <si>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</si>
  <si>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</si>
  <si>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</si>
  <si>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</si>
  <si>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</si>
  <si>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</si>
  <si>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</si>
  <si>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</si>
  <si>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</si>
  <si>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</si>
  <si>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</si>
  <si>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</si>
  <si>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</si>
  <si>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</si>
  <si>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</si>
  <si>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</si>
  <si>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</si>
  <si>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</si>
  <si>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</si>
  <si>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</si>
  <si>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</si>
  <si>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</si>
  <si>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</si>
  <si>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</si>
  <si>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</si>
  <si>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</si>
  <si>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</si>
  <si>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</si>
  <si>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</si>
  <si>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</si>
  <si>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</si>
  <si>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</si>
  <si>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</si>
  <si>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</si>
  <si>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</si>
  <si>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</si>
  <si>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</si>
  <si>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</si>
  <si>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</si>
  <si>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</si>
  <si>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</si>
  <si>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</si>
  <si>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</si>
  <si>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</si>
  <si>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</si>
  <si>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</si>
  <si>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</si>
  <si>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</si>
  <si>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</si>
  <si>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</si>
  <si>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</si>
  <si>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</si>
  <si>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</si>
  <si>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</si>
  <si>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</si>
  <si>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</si>
  <si>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</si>
  <si>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</si>
  <si>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</si>
  <si>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</si>
  <si>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</si>
  <si>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</si>
  <si>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</si>
  <si>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</si>
  <si>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</si>
  <si>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</si>
  <si>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</si>
  <si>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</si>
  <si>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</si>
  <si>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</si>
  <si>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</si>
  <si>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</si>
  <si>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</si>
  <si>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</si>
  <si>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</si>
  <si>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</si>
  <si>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</si>
  <si>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</si>
  <si>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</si>
  <si>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</si>
  <si>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</si>
  <si>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</si>
  <si>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</si>
  <si>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</si>
  <si>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</si>
  <si>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</si>
  <si>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</si>
  <si>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</si>
  <si>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</si>
  <si>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</si>
  <si>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</si>
  <si>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</si>
  <si>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</si>
  <si>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</si>
  <si>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</si>
  <si>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</si>
  <si>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</si>
  <si>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</si>
  <si>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</si>
  <si>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</si>
  <si>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</si>
  <si>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</si>
  <si>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</si>
  <si>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</si>
  <si>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</si>
  <si>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</si>
  <si>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</si>
  <si>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</si>
  <si>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</si>
  <si>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</si>
  <si>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</si>
  <si>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</si>
  <si>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</si>
  <si>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</si>
  <si>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</si>
  <si>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</si>
  <si>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</si>
  <si>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</si>
  <si>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</si>
  <si>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</si>
  <si>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</si>
  <si>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</si>
  <si>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</si>
  <si>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</si>
  <si>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</si>
  <si>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</si>
  <si>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</si>
  <si>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</si>
  <si>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</si>
  <si>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</si>
  <si>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</si>
  <si>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</si>
  <si>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</si>
  <si>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</si>
  <si>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</si>
  <si>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</si>
  <si>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</si>
  <si>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</si>
  <si>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</si>
  <si>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</si>
  <si>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</si>
  <si>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</si>
  <si>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</si>
  <si>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</si>
  <si>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</si>
  <si>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</si>
  <si>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</si>
  <si>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</si>
  <si>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</si>
  <si>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</si>
  <si>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</si>
  <si>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</si>
  <si>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</si>
  <si>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</si>
  <si>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</si>
  <si>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</si>
  <si>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</si>
  <si>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</si>
  <si>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</si>
  <si>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</si>
  <si>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</si>
  <si>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</si>
  <si>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</si>
  <si>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</si>
  <si>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</si>
  <si>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</si>
  <si>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</si>
  <si>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</si>
  <si>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</si>
  <si>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</si>
  <si>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</si>
  <si>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</si>
  <si>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</si>
  <si>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</si>
  <si>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</si>
  <si>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</si>
  <si>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</si>
  <si>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</si>
  <si>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</si>
  <si>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</si>
  <si>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</si>
  <si>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</si>
  <si>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</si>
  <si>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</si>
  <si>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</si>
  <si>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</si>
  <si>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</si>
  <si>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</si>
  <si>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</si>
  <si>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</si>
  <si>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</si>
  <si>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</si>
  <si>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</si>
  <si>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</si>
  <si>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</si>
  <si>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</si>
  <si>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</si>
  <si>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</si>
  <si>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</si>
  <si>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</si>
  <si>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</si>
  <si>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</si>
  <si>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</si>
  <si>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</si>
  <si>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</si>
  <si>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</si>
  <si>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</si>
  <si>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</si>
  <si>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</si>
  <si>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</si>
  <si>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</si>
  <si>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</si>
  <si>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</si>
  <si>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</si>
  <si>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</si>
  <si>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</si>
  <si>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</si>
  <si>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</si>
  <si>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</si>
  <si>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</si>
  <si>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</si>
  <si>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</si>
  <si>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</si>
  <si>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</si>
  <si>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</si>
  <si>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</si>
  <si>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</si>
  <si>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</si>
  <si>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</si>
  <si>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</si>
  <si>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</si>
  <si>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</si>
  <si>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</si>
  <si>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</si>
  <si>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</si>
  <si>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</si>
  <si>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</si>
  <si>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</si>
  <si>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</si>
  <si>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</si>
  <si>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</si>
  <si>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</si>
  <si>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</si>
  <si>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</si>
  <si>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</si>
  <si>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</si>
  <si>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</si>
  <si>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</si>
  <si>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</si>
  <si>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</si>
  <si>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</si>
  <si>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</si>
  <si>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</si>
  <si>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</si>
  <si>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</si>
  <si>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</si>
  <si>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</si>
  <si>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</si>
  <si>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</si>
  <si>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</si>
  <si>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</si>
  <si>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</si>
  <si>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</si>
  <si>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</si>
  <si>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</si>
  <si>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</si>
  <si>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</si>
  <si>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</si>
  <si>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</si>
  <si>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</si>
  <si>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</si>
  <si>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</si>
  <si>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</si>
  <si>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</si>
  <si>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</si>
  <si>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</si>
  <si>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</si>
  <si>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</si>
  <si>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</si>
  <si>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</si>
  <si>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</si>
  <si>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</si>
  <si>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</si>
  <si>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</si>
  <si>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</si>
  <si>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</si>
  <si>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</si>
  <si>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</si>
  <si>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</si>
  <si>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</si>
  <si>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</si>
  <si>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</si>
  <si>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</si>
  <si>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</si>
  <si>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</si>
  <si>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</si>
  <si>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</si>
  <si>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</si>
  <si>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</si>
  <si>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</si>
  <si>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</si>
  <si>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</si>
  <si>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</si>
  <si>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</si>
  <si>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</si>
  <si>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</si>
  <si>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</si>
  <si>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</si>
  <si>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</si>
  <si>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</si>
  <si>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</si>
  <si>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</si>
  <si>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</si>
  <si>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</si>
  <si>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</si>
  <si>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</si>
  <si>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</si>
  <si>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</si>
  <si>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</si>
  <si>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</si>
  <si>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</si>
  <si>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</si>
  <si>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</si>
  <si>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</si>
  <si>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</si>
  <si>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</si>
  <si>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</si>
  <si>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</si>
  <si>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</si>
  <si>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</si>
  <si>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</si>
  <si>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</si>
  <si>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</si>
  <si>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</si>
  <si>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</si>
  <si>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</si>
  <si>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</si>
  <si>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</si>
  <si>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</si>
  <si>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</si>
  <si>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</si>
  <si>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</si>
  <si>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</si>
  <si>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</si>
  <si>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</si>
  <si>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</si>
  <si>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</si>
  <si>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</si>
  <si>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</si>
  <si>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</si>
  <si>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</si>
  <si>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</si>
  <si>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</si>
  <si>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</si>
  <si>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</si>
  <si>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</si>
  <si>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</si>
  <si>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</si>
  <si>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</si>
  <si>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</si>
  <si>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</si>
  <si>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</si>
  <si>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</si>
  <si>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</si>
  <si>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</si>
  <si>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</si>
  <si>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</si>
  <si>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</si>
  <si>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</si>
  <si>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</si>
  <si>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</si>
  <si>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</si>
  <si>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</si>
  <si>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</si>
  <si>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</si>
  <si>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</si>
  <si>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</si>
  <si>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</si>
  <si>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</si>
  <si>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</si>
  <si>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</si>
  <si>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</si>
  <si>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</si>
  <si>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</si>
  <si>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</si>
  <si>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</si>
  <si>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</si>
  <si>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</si>
  <si>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</si>
  <si>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</si>
  <si>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</si>
  <si>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</si>
  <si>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</si>
  <si>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</si>
  <si>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</si>
  <si>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</si>
  <si>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</si>
  <si>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</si>
  <si>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</si>
  <si>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</si>
  <si>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</si>
  <si>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</si>
  <si>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</si>
  <si>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</si>
  <si>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</si>
  <si>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</si>
  <si>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</si>
  <si>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</si>
  <si>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</si>
  <si>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</si>
  <si>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</si>
  <si>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</si>
  <si>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</si>
  <si>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</si>
  <si>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</si>
  <si>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</si>
  <si>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</si>
  <si>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</si>
  <si>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</si>
  <si>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</si>
  <si>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</si>
  <si>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</si>
  <si>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</si>
  <si>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</si>
  <si>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</si>
  <si>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</si>
  <si>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</si>
  <si>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</si>
  <si>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</si>
  <si>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</si>
  <si>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</si>
  <si>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</si>
  <si>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</si>
  <si>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</si>
  <si>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</si>
  <si>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</si>
  <si>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</si>
  <si>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</si>
  <si>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</si>
  <si>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</si>
  <si>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</si>
  <si>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</si>
  <si>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</si>
  <si>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</si>
  <si>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</si>
  <si>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</si>
  <si>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</si>
  <si>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</si>
  <si>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</si>
  <si>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</si>
  <si>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</si>
  <si>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</si>
  <si>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</si>
  <si>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</si>
  <si>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</si>
  <si>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</si>
  <si>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</si>
  <si>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</si>
  <si>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</si>
  <si>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</si>
  <si>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</si>
  <si>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</si>
  <si>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</si>
  <si>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</si>
  <si>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</si>
  <si>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</si>
  <si>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</si>
  <si>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</si>
  <si>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</si>
  <si>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</si>
  <si>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</si>
  <si>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</si>
  <si>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</si>
  <si>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</si>
  <si>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</si>
  <si>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</si>
  <si>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</si>
  <si>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</si>
  <si>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</si>
  <si>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</si>
  <si>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</si>
  <si>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</si>
  <si>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</si>
  <si>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</si>
  <si>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</si>
  <si>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</si>
  <si>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</si>
  <si>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</si>
  <si>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</si>
  <si>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</si>
  <si>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</si>
  <si>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</si>
  <si>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</si>
  <si>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</si>
  <si>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</si>
  <si>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</si>
  <si>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</si>
  <si>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</si>
  <si>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</si>
  <si>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</si>
  <si>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</si>
  <si>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</si>
  <si>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</si>
  <si>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</si>
  <si>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</si>
  <si>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</si>
  <si>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</si>
  <si>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</si>
  <si>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</si>
  <si>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</si>
  <si>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</si>
  <si>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</si>
  <si>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</si>
  <si>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</si>
  <si>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</si>
  <si>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</si>
  <si>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</si>
  <si>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</si>
  <si>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</si>
  <si>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</si>
  <si>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</si>
  <si>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</si>
  <si>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</si>
  <si>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</si>
  <si>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</si>
  <si>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</si>
  <si>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</si>
  <si>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</si>
  <si>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</si>
  <si>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</si>
  <si>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</si>
  <si>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</si>
  <si>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</si>
  <si>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</si>
  <si>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</si>
  <si>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</si>
  <si>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</si>
  <si>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</si>
  <si>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</si>
  <si>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</si>
  <si>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</si>
  <si>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</si>
  <si>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</si>
  <si>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</si>
  <si>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</si>
  <si>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</si>
  <si>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</si>
  <si>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</si>
  <si>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</si>
  <si>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</si>
  <si>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</si>
  <si>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</si>
  <si>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</si>
  <si>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</si>
  <si>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</si>
  <si>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</si>
  <si>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</si>
  <si>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</si>
  <si>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</si>
  <si>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</si>
  <si>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</si>
  <si>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</si>
  <si>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</si>
  <si>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</si>
  <si>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</si>
  <si>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</si>
  <si>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</si>
  <si>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</si>
  <si>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</si>
  <si>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</si>
  <si>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</si>
  <si>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</si>
  <si>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</si>
  <si>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</si>
  <si>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</si>
  <si>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</si>
  <si>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</si>
  <si>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</si>
  <si>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</si>
  <si>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</si>
  <si>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</si>
  <si>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</si>
  <si>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</si>
  <si>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</si>
  <si>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</si>
  <si>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</si>
  <si>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</si>
  <si>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</si>
  <si>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</si>
  <si>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</si>
  <si>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</si>
  <si>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</si>
  <si>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</si>
  <si>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</si>
  <si>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</si>
  <si>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</si>
  <si>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</si>
  <si>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</si>
  <si>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</si>
  <si>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</si>
  <si>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</si>
  <si>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</si>
  <si>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</si>
  <si>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</si>
  <si>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</si>
  <si>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</si>
  <si>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</si>
  <si>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</si>
  <si>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</si>
  <si>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</si>
  <si>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</si>
  <si>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</si>
  <si>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</si>
  <si>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</si>
  <si>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</si>
  <si>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</si>
  <si>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</si>
  <si>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</si>
  <si>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</si>
  <si>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</si>
  <si>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</si>
  <si>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</si>
  <si>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</si>
  <si>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</si>
  <si>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</si>
  <si>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</si>
  <si>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</si>
  <si>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</si>
  <si>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</si>
  <si>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</si>
  <si>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</si>
  <si>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</si>
  <si>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</si>
  <si>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</si>
  <si>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</si>
  <si>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</si>
  <si>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</si>
  <si>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</si>
  <si>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</si>
  <si>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</si>
  <si>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</si>
  <si>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</si>
  <si>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</si>
  <si>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</si>
  <si>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</si>
  <si>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</si>
  <si>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</si>
  <si>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</si>
  <si>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</si>
  <si>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</si>
  <si>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</si>
  <si>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</si>
  <si>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</si>
  <si>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</si>
  <si>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</si>
  <si>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</si>
  <si>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</si>
  <si>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</si>
  <si>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</si>
  <si>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</si>
  <si>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</si>
  <si>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</si>
  <si>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</si>
  <si>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</si>
  <si>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</si>
  <si>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</si>
  <si>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</si>
  <si>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</si>
  <si>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</si>
  <si>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</si>
  <si>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</si>
  <si>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</si>
  <si>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</si>
  <si>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</si>
  <si>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</si>
  <si>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</si>
  <si>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</si>
  <si>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</si>
  <si>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</si>
  <si>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</si>
  <si>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</si>
  <si>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</si>
  <si>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</si>
  <si>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</si>
  <si>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</si>
  <si>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</si>
  <si>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</si>
  <si>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</si>
  <si>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</si>
  <si>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</si>
  <si>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</si>
  <si>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</si>
  <si>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</si>
  <si>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</si>
  <si>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</si>
  <si>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</si>
  <si>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</si>
  <si>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</si>
  <si>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</si>
  <si>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</si>
  <si>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</si>
  <si>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</si>
  <si>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</si>
  <si>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</si>
  <si>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</si>
  <si>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</si>
  <si>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</si>
  <si>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</si>
  <si>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</si>
  <si>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</si>
  <si>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</si>
  <si>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</si>
  <si>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</si>
  <si>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</si>
  <si>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</si>
  <si>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</si>
  <si>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</si>
  <si>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</si>
  <si>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</si>
  <si>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</si>
  <si>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</si>
  <si>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</si>
  <si>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</si>
  <si>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</si>
  <si>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</si>
  <si>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</si>
  <si>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</si>
  <si>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</si>
  <si>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</si>
  <si>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</si>
  <si>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</si>
  <si>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</si>
  <si>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</si>
  <si>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</si>
  <si>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</si>
  <si>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</si>
  <si>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</si>
  <si>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</si>
  <si>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</si>
  <si>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</si>
  <si>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</si>
  <si>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</si>
  <si>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</si>
  <si>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</si>
  <si>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</si>
  <si>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</si>
  <si>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</si>
  <si>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</si>
  <si>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</si>
  <si>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</si>
  <si>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</si>
  <si>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</si>
  <si>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</si>
  <si>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</si>
  <si>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</si>
  <si>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</si>
  <si>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</si>
  <si>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</si>
  <si>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</si>
  <si>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</si>
  <si>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</si>
  <si>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</si>
  <si>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</si>
  <si>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</si>
  <si>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</si>
  <si>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</si>
  <si>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</si>
  <si>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</si>
  <si>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</si>
  <si>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</si>
  <si>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</si>
  <si>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</si>
  <si>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</si>
  <si>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</si>
  <si>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</si>
  <si>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</si>
  <si>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</si>
  <si>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</si>
  <si>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</si>
  <si>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</si>
  <si>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</si>
  <si>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</si>
  <si>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</si>
  <si>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</si>
  <si>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</si>
  <si>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</si>
  <si>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</si>
  <si>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</si>
  <si>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</si>
  <si>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</si>
  <si>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</si>
  <si>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</si>
  <si>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</si>
  <si>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</si>
  <si>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</si>
  <si>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</si>
  <si>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</si>
  <si>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</si>
  <si>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</si>
  <si>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</si>
  <si>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</si>
  <si>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</si>
  <si>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</si>
  <si>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</si>
  <si>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</si>
  <si>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</si>
  <si>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</si>
  <si>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</si>
  <si>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</si>
  <si>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</si>
  <si>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</si>
  <si>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</si>
  <si>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</si>
  <si>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</si>
  <si>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</si>
  <si>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</si>
  <si>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</si>
  <si>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</si>
  <si>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</si>
  <si>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</si>
  <si>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</si>
  <si>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</si>
  <si>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</si>
  <si>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</si>
  <si>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</si>
  <si>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</si>
  <si>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</si>
  <si>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</si>
  <si>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</si>
  <si>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</si>
  <si>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</si>
  <si>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</si>
  <si>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</si>
  <si>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</si>
  <si>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</si>
  <si>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</si>
  <si>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</si>
  <si>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</si>
  <si>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</si>
  <si>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</si>
  <si>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</si>
  <si>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</si>
  <si>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</si>
  <si>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</si>
  <si>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</si>
  <si>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</si>
  <si>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</si>
  <si>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</si>
  <si>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</si>
  <si>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</si>
  <si>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</si>
  <si>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</si>
  <si>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</si>
  <si>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</si>
  <si>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</si>
  <si>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</si>
  <si>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</si>
  <si>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</si>
  <si>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</si>
  <si>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</si>
  <si>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</si>
  <si>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</si>
  <si>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</si>
  <si>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</si>
  <si>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</si>
  <si>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</si>
  <si>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</si>
  <si>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</si>
  <si>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</si>
  <si>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</si>
  <si>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</si>
  <si>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</si>
  <si>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</si>
  <si>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</si>
  <si>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</si>
  <si>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</si>
  <si>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</si>
  <si>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</si>
  <si>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</si>
  <si>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</si>
  <si>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</si>
  <si>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</si>
  <si>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</si>
  <si>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</si>
  <si>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</si>
  <si>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</si>
  <si>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</si>
  <si>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</si>
  <si>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</si>
  <si>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</si>
  <si>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</si>
  <si>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</si>
  <si>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</si>
  <si>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</si>
  <si>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</si>
  <si>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</si>
  <si>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</si>
  <si>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</si>
  <si>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</si>
  <si>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</si>
  <si>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</si>
  <si>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</si>
  <si>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</si>
  <si>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</si>
  <si>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</si>
  <si>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</si>
  <si>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</si>
  <si>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</si>
  <si>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</si>
  <si>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</si>
  <si>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</si>
  <si>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</si>
  <si>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</si>
  <si>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</si>
  <si>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</si>
  <si>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</si>
  <si>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</si>
  <si>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</si>
  <si>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</si>
  <si>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</si>
  <si>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</si>
  <si>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</si>
  <si>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</si>
  <si>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</si>
  <si>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</si>
  <si>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</si>
  <si>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</si>
  <si>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</si>
  <si>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</si>
  <si>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</si>
  <si>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</si>
  <si>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</si>
  <si>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</si>
  <si>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</si>
  <si>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</si>
  <si>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</si>
  <si>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</si>
  <si>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</si>
  <si>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</si>
  <si>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</si>
  <si>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</si>
  <si>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</si>
  <si>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</si>
  <si>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</si>
  <si>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</si>
  <si>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</si>
  <si>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</si>
  <si>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</si>
  <si>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</si>
  <si>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</si>
  <si>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</si>
  <si>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</si>
  <si>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</si>
  <si>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</si>
  <si>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</si>
  <si>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</si>
  <si>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</si>
  <si>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</si>
  <si>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</si>
  <si>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</si>
  <si>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</si>
  <si>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</si>
  <si>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</si>
  <si>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</si>
  <si>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</si>
  <si>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</si>
  <si>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</si>
  <si>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</si>
  <si>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</si>
  <si>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</si>
  <si>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</si>
  <si>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</si>
  <si>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</si>
  <si>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</si>
  <si>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</si>
  <si>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</si>
  <si>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</si>
  <si>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</si>
  <si>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</si>
  <si>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</si>
  <si>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</si>
  <si>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</si>
  <si>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</si>
  <si>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</si>
  <si>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</si>
  <si>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</si>
  <si>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</si>
  <si>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</si>
  <si>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</si>
  <si>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</si>
  <si>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</si>
  <si>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</si>
  <si>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</si>
  <si>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</si>
  <si>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</si>
  <si>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</si>
  <si>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</si>
  <si>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</si>
  <si>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</si>
  <si>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</si>
  <si>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</si>
  <si>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</si>
  <si>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</si>
  <si>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</si>
  <si>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</si>
  <si>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</si>
  <si>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</si>
  <si>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</si>
  <si>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</si>
  <si>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</si>
  <si>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</si>
  <si>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</si>
  <si>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</si>
  <si>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</si>
  <si>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</si>
  <si>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</si>
  <si>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</si>
  <si>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</si>
  <si>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</si>
  <si>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</si>
  <si>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</si>
  <si>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</si>
  <si>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</si>
  <si>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</si>
  <si>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</si>
  <si>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</si>
  <si>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</si>
  <si>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</si>
  <si>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</si>
  <si>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</si>
  <si>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</si>
  <si>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</si>
  <si>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</si>
  <si>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</si>
  <si>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</si>
  <si>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</si>
  <si>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</si>
  <si>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</si>
  <si>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</si>
  <si>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</si>
  <si>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</si>
  <si>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</si>
  <si>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</si>
  <si>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</si>
  <si>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</si>
  <si>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</si>
  <si>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</si>
  <si>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</si>
  <si>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</si>
  <si>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</si>
  <si>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</si>
  <si>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</si>
  <si>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</si>
  <si>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</si>
  <si>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</si>
  <si>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</si>
  <si>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</si>
  <si>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</si>
  <si>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</si>
  <si>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</si>
  <si>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</si>
  <si>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</si>
  <si>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</si>
  <si>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</si>
  <si>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</si>
  <si>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</si>
  <si>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</si>
  <si>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</si>
  <si>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</si>
  <si>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</si>
  <si>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</si>
  <si>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</si>
  <si>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</si>
  <si>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</si>
  <si>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</si>
  <si>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</si>
  <si>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</si>
  <si>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</si>
  <si>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</si>
  <si>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</si>
  <si>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</si>
  <si>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</si>
  <si>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</si>
  <si>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</si>
  <si>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</si>
  <si>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</si>
  <si>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</si>
  <si>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</si>
  <si>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</si>
  <si>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</si>
  <si>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</si>
  <si>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</si>
  <si>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</si>
  <si>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</si>
  <si>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</si>
  <si>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</si>
  <si>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</si>
  <si>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</si>
  <si>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</si>
  <si>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</si>
  <si>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</si>
  <si>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</si>
  <si>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</si>
  <si>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</si>
  <si>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</si>
  <si>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</si>
  <si>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</si>
  <si>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</si>
  <si>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</si>
  <si>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</si>
  <si>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</si>
  <si>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</si>
  <si>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</si>
  <si>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</si>
  <si>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</si>
  <si>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</si>
  <si>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</si>
  <si>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</si>
  <si>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</si>
  <si>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</si>
  <si>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</si>
  <si>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</si>
  <si>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</si>
  <si>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</si>
  <si>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</si>
  <si>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</si>
  <si>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</si>
  <si>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</si>
  <si>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</si>
  <si>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</si>
  <si>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</si>
  <si>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</si>
  <si>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</si>
  <si>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</si>
  <si>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</si>
  <si>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</si>
  <si>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</si>
  <si>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</si>
  <si>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</si>
  <si>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</si>
  <si>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</si>
  <si>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</si>
  <si>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</si>
  <si>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</si>
  <si>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</si>
  <si>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</si>
  <si>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</si>
  <si>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</si>
  <si>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</si>
  <si>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</si>
  <si>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</si>
  <si>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</si>
  <si>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</si>
  <si>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</si>
  <si>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</si>
  <si>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</si>
  <si>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</si>
  <si>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</si>
  <si>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</si>
  <si>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</si>
  <si>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</si>
  <si>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</si>
  <si>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</si>
  <si>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</si>
  <si>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</si>
  <si>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</si>
  <si>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</si>
  <si>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</si>
  <si>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</si>
  <si>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</si>
  <si>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</si>
  <si>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</si>
  <si>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</si>
  <si>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</si>
  <si>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</si>
  <si>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</si>
  <si>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</si>
  <si>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</si>
  <si>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</si>
  <si>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</si>
  <si>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</si>
  <si>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</si>
  <si>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</si>
  <si>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</si>
  <si>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</si>
  <si>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</si>
  <si>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</si>
  <si>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</si>
  <si>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</si>
  <si>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</si>
  <si>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</si>
  <si>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</si>
  <si>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</si>
  <si>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</si>
  <si>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</si>
  <si>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</si>
  <si>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</si>
  <si>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</si>
  <si>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</si>
  <si>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</si>
  <si>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</si>
  <si>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</si>
  <si>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</si>
  <si>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</si>
  <si>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</si>
  <si>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</si>
  <si>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</si>
  <si>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</si>
  <si>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</si>
  <si>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</si>
  <si>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</si>
  <si>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</si>
  <si>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</si>
  <si>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</si>
  <si>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</si>
  <si>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</si>
  <si>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</si>
  <si>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</si>
  <si>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</si>
  <si>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</si>
  <si>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</si>
  <si>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</si>
  <si>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</si>
  <si>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</si>
  <si>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</si>
  <si>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</si>
  <si>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</si>
  <si>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</si>
  <si>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</si>
  <si>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</si>
  <si>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</si>
  <si>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</si>
  <si>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</si>
  <si>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</si>
  <si>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</si>
  <si>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</si>
  <si>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</si>
  <si>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</si>
  <si>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</si>
  <si>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</si>
  <si>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</si>
  <si>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</si>
  <si>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</si>
  <si>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</si>
  <si>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</si>
  <si>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</si>
  <si>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</si>
  <si>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</si>
  <si>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</si>
  <si>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</si>
  <si>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</si>
  <si>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</si>
  <si>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</si>
  <si>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</si>
  <si>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</si>
  <si>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</si>
  <si>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</si>
  <si>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</si>
  <si>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</si>
  <si>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</si>
  <si>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</si>
  <si>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</si>
  <si>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</si>
  <si>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</si>
  <si>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</si>
  <si>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</si>
  <si>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</si>
  <si>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</si>
  <si>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</si>
  <si>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</si>
  <si>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</si>
  <si>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</si>
  <si>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</si>
  <si>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</si>
  <si>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</si>
  <si>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</si>
  <si>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</si>
  <si>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</si>
  <si>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</si>
  <si>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</si>
  <si>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</si>
  <si>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</si>
  <si>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</si>
  <si>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</si>
  <si>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</si>
  <si>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</si>
  <si>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</si>
  <si>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</si>
  <si>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</si>
  <si>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</si>
  <si>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</si>
  <si>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</si>
  <si>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</si>
  <si>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</si>
  <si>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</si>
  <si>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</si>
  <si>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</si>
  <si>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</si>
  <si>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</si>
  <si>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</si>
  <si>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</si>
  <si>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</si>
  <si>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</si>
  <si>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</si>
  <si>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</si>
  <si>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</si>
  <si>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</si>
  <si>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</si>
  <si>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</si>
  <si>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</si>
  <si>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</si>
  <si>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</si>
  <si>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</si>
  <si>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</si>
  <si>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</si>
  <si>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</si>
  <si>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</si>
  <si>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</si>
  <si>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</si>
  <si>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</si>
  <si>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</si>
  <si>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</si>
  <si>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</si>
  <si>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</si>
  <si>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</si>
  <si>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</si>
  <si>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</si>
  <si>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</si>
  <si>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</si>
  <si>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</si>
  <si>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</si>
  <si>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</si>
  <si>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</si>
  <si>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</si>
  <si>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</si>
  <si>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</si>
  <si>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</si>
  <si>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</si>
  <si>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</si>
  <si>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</si>
  <si>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</si>
  <si>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</si>
  <si>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</si>
  <si>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</si>
  <si>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</si>
  <si>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</si>
  <si>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</si>
  <si>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</si>
  <si>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</si>
  <si>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</si>
  <si>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</si>
  <si>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</si>
  <si>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</si>
  <si>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</si>
  <si>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</si>
  <si>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</si>
  <si>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</si>
  <si>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</si>
  <si>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</si>
  <si>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</si>
  <si>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</si>
  <si>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</si>
  <si>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</si>
  <si>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</si>
  <si>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</si>
  <si>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</si>
  <si>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</si>
  <si>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</si>
  <si>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</si>
  <si>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</si>
  <si>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</si>
  <si>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</si>
  <si>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</si>
  <si>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</si>
  <si>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</si>
  <si>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</si>
  <si>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</si>
  <si>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</si>
  <si>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</si>
  <si>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</si>
  <si>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</si>
  <si>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</si>
  <si>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</si>
  <si>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</si>
  <si>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</si>
  <si>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</si>
  <si>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</si>
  <si>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</si>
  <si>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</si>
  <si>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</si>
  <si>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</si>
  <si>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</si>
  <si>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</si>
  <si>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</si>
  <si>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</si>
  <si>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</si>
  <si>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</si>
  <si>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</si>
  <si>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</si>
  <si>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</si>
  <si>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</si>
  <si>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</si>
  <si>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</si>
  <si>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</si>
  <si>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</si>
  <si>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</si>
  <si>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</si>
  <si>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</si>
  <si>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</si>
  <si>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</si>
  <si>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</si>
  <si>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</si>
  <si>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</si>
  <si>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</si>
  <si>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</si>
  <si>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</si>
  <si>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</si>
  <si>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</si>
  <si>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</si>
  <si>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</si>
  <si>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</si>
  <si>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</si>
  <si>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</si>
  <si>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</si>
  <si>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</si>
  <si>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</si>
  <si>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</si>
  <si>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</si>
  <si>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</si>
  <si>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</si>
  <si>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</si>
  <si>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</si>
  <si>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</si>
  <si>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</si>
  <si>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</si>
  <si>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</si>
  <si>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</si>
  <si>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</si>
  <si>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</si>
  <si>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</si>
  <si>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</si>
  <si>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</si>
  <si>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</si>
  <si>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</si>
  <si>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</si>
  <si>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</si>
  <si>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</si>
  <si>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</si>
  <si>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</si>
  <si>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</si>
  <si>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</si>
  <si>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</si>
  <si>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</si>
  <si>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</si>
  <si>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</si>
  <si>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</si>
  <si>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</si>
  <si>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</si>
  <si>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</si>
  <si>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</si>
  <si>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</si>
  <si>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</si>
  <si>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</si>
  <si>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</si>
  <si>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</si>
  <si>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</si>
  <si>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</si>
  <si>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</si>
  <si>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</si>
  <si>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</si>
  <si>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</si>
  <si>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</si>
  <si>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</si>
  <si>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</si>
  <si>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</si>
  <si>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</si>
  <si>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</si>
  <si>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</si>
  <si>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</si>
  <si>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</si>
  <si>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</si>
  <si>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</si>
  <si>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</si>
  <si>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</si>
  <si>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</si>
  <si>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</si>
  <si>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</si>
  <si>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</si>
  <si>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</si>
  <si>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</si>
  <si>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</si>
  <si>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</si>
  <si>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</si>
  <si>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</si>
  <si>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</si>
  <si>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</si>
  <si>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</si>
  <si>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</si>
  <si>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</si>
  <si>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</si>
  <si>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</si>
  <si>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</si>
  <si>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</si>
  <si>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</si>
  <si>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</si>
  <si>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</si>
  <si>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</si>
  <si>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</si>
  <si>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</si>
  <si>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</si>
  <si>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</si>
  <si>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</si>
  <si>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</si>
  <si>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</si>
  <si>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</si>
  <si>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</si>
  <si>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</si>
  <si>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</si>
  <si>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</si>
  <si>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</si>
  <si>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</si>
  <si>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</si>
  <si>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</si>
  <si>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</si>
  <si>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</si>
  <si>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</si>
  <si>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</si>
  <si>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</si>
  <si>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</si>
  <si>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</si>
  <si>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</si>
  <si>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</si>
  <si>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</si>
  <si>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</si>
  <si>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</si>
  <si>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</si>
  <si>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</si>
  <si>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</si>
  <si>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</si>
  <si>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</si>
  <si>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</si>
  <si>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</si>
  <si>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</si>
  <si>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</si>
  <si>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</si>
  <si>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</si>
  <si>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</si>
  <si>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</si>
  <si>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</si>
  <si>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</si>
  <si>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</si>
  <si>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</si>
  <si>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</si>
  <si>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</si>
  <si>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</si>
  <si>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</si>
  <si>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</si>
  <si>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</si>
  <si>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</si>
  <si>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</si>
  <si>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</si>
  <si>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</si>
  <si>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</si>
  <si>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</si>
  <si>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</si>
  <si>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</si>
  <si>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</si>
  <si>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</si>
  <si>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</si>
  <si>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</si>
  <si>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</si>
  <si>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</si>
  <si>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</si>
  <si>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</si>
  <si>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</si>
  <si>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</si>
  <si>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</si>
  <si>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</si>
  <si>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</si>
  <si>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</si>
  <si>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</si>
  <si>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</si>
  <si>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</si>
  <si>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</si>
  <si>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</si>
  <si>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</si>
  <si>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</si>
  <si>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</si>
  <si>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</si>
  <si>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</si>
  <si>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</si>
  <si>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</si>
  <si>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</si>
  <si>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</si>
  <si>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</si>
  <si>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</si>
  <si>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</si>
  <si>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</si>
  <si>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</si>
  <si>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</si>
  <si>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</si>
  <si>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</si>
  <si>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</si>
  <si>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</si>
  <si>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</si>
  <si>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</si>
  <si>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</si>
  <si>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</si>
  <si>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</si>
  <si>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</si>
  <si>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</si>
  <si>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</si>
  <si>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</si>
  <si>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</si>
  <si>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</si>
  <si>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</si>
  <si>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</si>
  <si>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</si>
  <si>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</si>
  <si>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</si>
  <si>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</si>
  <si>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</si>
  <si>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</si>
  <si>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</si>
  <si>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</si>
  <si>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</si>
  <si>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</si>
  <si>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</si>
  <si>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</si>
  <si>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</si>
  <si>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</si>
  <si>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</si>
  <si>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</si>
  <si>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</si>
  <si>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</si>
  <si>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</si>
  <si>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</si>
  <si>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</si>
  <si>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</si>
  <si>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</si>
  <si>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</si>
  <si>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</si>
  <si>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</si>
  <si>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</si>
  <si>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</si>
  <si>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</si>
  <si>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</si>
  <si>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</si>
  <si>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</si>
  <si>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</si>
  <si>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</si>
  <si>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</si>
  <si>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</si>
  <si>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</si>
  <si>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</si>
  <si>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</si>
  <si>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</si>
  <si>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</si>
  <si>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</si>
  <si>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</si>
  <si>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</si>
  <si>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</si>
  <si>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</si>
  <si>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</si>
  <si>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</si>
  <si>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</si>
  <si>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</si>
  <si>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</si>
  <si>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</si>
  <si>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</si>
  <si>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</si>
  <si>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</si>
  <si>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</si>
  <si>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</si>
  <si>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</si>
  <si>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</si>
  <si>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</si>
  <si>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</si>
  <si>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</si>
  <si>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</si>
  <si>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</si>
  <si>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</si>
  <si>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</si>
  <si>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</si>
  <si>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</si>
  <si>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</si>
  <si>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</si>
  <si>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</si>
  <si>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</si>
  <si>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</si>
  <si>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</si>
  <si>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</si>
  <si>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</si>
  <si>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</si>
  <si>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</si>
  <si>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</si>
  <si>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</si>
  <si>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</si>
  <si>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</si>
  <si>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</si>
  <si>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</si>
  <si>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</si>
  <si>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</si>
  <si>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</si>
  <si>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</si>
  <si>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</si>
  <si>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</si>
  <si>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</si>
  <si>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</si>
  <si>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</si>
  <si>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</si>
  <si>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</si>
  <si>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</si>
  <si>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</si>
  <si>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</si>
  <si>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</si>
  <si>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</si>
  <si>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</si>
  <si>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</si>
  <si>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</si>
  <si>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</si>
  <si>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</si>
  <si>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</si>
  <si>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</si>
  <si>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</si>
  <si>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</si>
  <si>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</si>
  <si>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</si>
  <si>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</si>
  <si>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</si>
  <si>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</si>
  <si>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</si>
  <si>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</si>
  <si>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</si>
  <si>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</si>
  <si>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</si>
  <si>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</si>
  <si>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</si>
  <si>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</si>
  <si>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</si>
  <si>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</si>
  <si>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</si>
  <si>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</si>
  <si>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</si>
  <si>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</si>
  <si>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</si>
  <si>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</si>
  <si>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</si>
  <si>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</si>
  <si>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</si>
  <si>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</si>
  <si>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</si>
  <si>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</si>
  <si>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</si>
  <si>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</si>
  <si>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</si>
  <si>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</si>
  <si>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</si>
  <si>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</si>
  <si>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</si>
  <si>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</si>
  <si>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</si>
  <si>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</si>
  <si>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</si>
  <si>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</si>
  <si>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</si>
  <si>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</si>
  <si>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</si>
  <si>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</si>
  <si>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</si>
  <si>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</si>
  <si>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</si>
  <si>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</si>
  <si>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</si>
  <si>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</si>
  <si>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</si>
  <si>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</si>
  <si>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</si>
  <si>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</si>
  <si>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</si>
  <si>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</si>
  <si>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</si>
  <si>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</si>
  <si>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</si>
  <si>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</si>
  <si>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</si>
  <si>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</si>
  <si>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</si>
  <si>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</si>
  <si>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</si>
  <si>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</si>
  <si>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</si>
  <si>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</si>
  <si>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</si>
  <si>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</si>
  <si>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</si>
  <si>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</si>
  <si>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</si>
  <si>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</si>
  <si>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</si>
  <si>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</si>
  <si>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</si>
  <si>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</si>
  <si>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</si>
  <si>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</si>
  <si>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</si>
  <si>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</si>
  <si>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</si>
  <si>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</si>
  <si>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</si>
  <si>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</si>
  <si>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</si>
  <si>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</si>
  <si>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</si>
  <si>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</si>
  <si>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</si>
  <si>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</si>
  <si>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</si>
  <si>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</si>
  <si>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</si>
  <si>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</si>
  <si>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</si>
  <si>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</si>
  <si>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</si>
  <si>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</si>
  <si>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</si>
  <si>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</si>
  <si>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</si>
  <si>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</si>
  <si>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</si>
  <si>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</si>
  <si>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</si>
  <si>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</si>
  <si>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</si>
  <si>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</si>
  <si>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</si>
  <si>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</si>
  <si>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</si>
  <si>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</si>
  <si>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</si>
  <si>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</si>
  <si>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</si>
  <si>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</si>
  <si>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</si>
  <si>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</si>
  <si>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</si>
  <si>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</si>
  <si>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</si>
  <si>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</si>
  <si>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</si>
  <si>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</si>
  <si>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</si>
  <si>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</si>
  <si>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</si>
  <si>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</si>
  <si>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</si>
  <si>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</si>
  <si>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</si>
  <si>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</si>
  <si>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</si>
  <si>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</si>
  <si>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</si>
  <si>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</si>
  <si>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</si>
  <si>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</si>
  <si>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</si>
  <si>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</si>
  <si>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</si>
  <si>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</si>
  <si>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</si>
  <si>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</si>
  <si>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</si>
  <si>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</si>
  <si>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</si>
  <si>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</si>
  <si>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</si>
  <si>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</si>
  <si>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</si>
  <si>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</si>
  <si>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</si>
  <si>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</si>
  <si>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</si>
  <si>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</si>
  <si>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</si>
  <si>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</si>
  <si>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</si>
  <si>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</si>
  <si>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</si>
  <si>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</si>
  <si>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</si>
  <si>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</si>
  <si>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</si>
  <si>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</si>
  <si>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</si>
  <si>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</si>
  <si>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</si>
  <si>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</si>
  <si>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</si>
  <si>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</si>
  <si>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</si>
  <si>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</si>
  <si>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</si>
  <si>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</si>
  <si>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</si>
  <si>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</si>
  <si>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</si>
  <si>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</si>
  <si>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</si>
  <si>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</si>
  <si>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</si>
  <si>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</si>
  <si>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</si>
  <si>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</si>
  <si>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</si>
  <si>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</si>
  <si>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</si>
  <si>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</si>
  <si>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</si>
  <si>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</si>
  <si>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</si>
  <si>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</si>
  <si>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</si>
  <si>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</si>
  <si>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</si>
  <si>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</si>
  <si>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</si>
  <si>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</si>
  <si>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</si>
  <si>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</si>
  <si>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</si>
  <si>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</si>
  <si>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</si>
  <si>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</si>
  <si>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</si>
  <si>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</si>
  <si>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</si>
  <si>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</si>
  <si>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</si>
  <si>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</si>
  <si>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</si>
  <si>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</si>
  <si>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</si>
  <si>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</si>
  <si>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</si>
  <si>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</si>
  <si>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</si>
  <si>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</si>
  <si>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</si>
  <si>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</si>
  <si>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</si>
  <si>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</si>
  <si>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</si>
  <si>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</si>
  <si>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</si>
  <si>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</si>
  <si>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</si>
  <si>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</si>
  <si>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</si>
  <si>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</si>
  <si>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</si>
  <si>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</si>
  <si>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</si>
  <si>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</si>
  <si>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</si>
  <si>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</si>
  <si>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</si>
  <si>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</si>
  <si>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</si>
  <si>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</si>
  <si>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</si>
  <si>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</si>
  <si>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</si>
  <si>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</si>
  <si>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</si>
  <si>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</si>
  <si>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</si>
  <si>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</si>
  <si>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</si>
  <si>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</si>
  <si>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</si>
  <si>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</si>
  <si>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</si>
  <si>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</si>
  <si>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</si>
  <si>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</si>
  <si>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</si>
  <si>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</si>
  <si>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</si>
  <si>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</si>
  <si>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</si>
  <si>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</si>
  <si>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</si>
  <si>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</si>
  <si>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</si>
  <si>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</si>
  <si>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</si>
  <si>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</si>
  <si>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</si>
  <si>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</si>
  <si>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</si>
  <si>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</si>
  <si>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</si>
  <si>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</si>
  <si>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</si>
  <si>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</si>
  <si>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</si>
  <si>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</si>
  <si>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</si>
  <si>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</si>
  <si>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</si>
  <si>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</si>
  <si>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</si>
  <si>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</si>
  <si>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</si>
  <si>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</si>
  <si>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</si>
  <si>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</si>
  <si>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</si>
  <si>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</si>
  <si>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</si>
  <si>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</si>
  <si>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</si>
  <si>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</si>
  <si>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</si>
  <si>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</si>
  <si>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</si>
  <si>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</si>
  <si>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</si>
  <si>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</si>
  <si>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</si>
  <si>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</si>
  <si>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</si>
  <si>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</si>
  <si>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</si>
  <si>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</si>
  <si>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</si>
  <si>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</si>
  <si>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</si>
  <si>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</si>
  <si>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</si>
  <si>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</si>
  <si>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</si>
  <si>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</si>
  <si>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</si>
  <si>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</si>
  <si>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</si>
  <si>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</si>
  <si>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</si>
  <si>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</si>
  <si>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</si>
  <si>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</si>
  <si>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</si>
  <si>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</si>
  <si>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</si>
  <si>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</si>
  <si>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</si>
  <si>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</si>
  <si>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</si>
  <si>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</si>
  <si>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</si>
  <si>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</si>
  <si>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</si>
  <si>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</si>
  <si>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</si>
  <si>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</si>
  <si>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</si>
  <si>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</si>
  <si>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</si>
  <si>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</si>
  <si>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</si>
  <si>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</si>
  <si>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</si>
  <si>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</si>
  <si>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</si>
  <si>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</si>
  <si>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</si>
  <si>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</si>
  <si>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</si>
  <si>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</si>
  <si>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</si>
  <si>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</si>
  <si>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</si>
  <si>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</si>
  <si>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</si>
  <si>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</si>
  <si>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</si>
  <si>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</si>
  <si>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</si>
  <si>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</si>
  <si>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</si>
  <si>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</si>
  <si>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</si>
  <si>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</si>
  <si>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</si>
  <si>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</si>
  <si>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</si>
  <si>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</si>
  <si>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</si>
  <si>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</si>
  <si>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</si>
  <si>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</si>
  <si>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</si>
  <si>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</si>
  <si>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</si>
  <si>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</si>
  <si>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</si>
  <si>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</si>
  <si>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</si>
  <si>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</si>
  <si>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</si>
  <si>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</si>
  <si>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</si>
  <si>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</si>
  <si>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</si>
  <si>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</si>
  <si>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</si>
  <si>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</si>
  <si>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</si>
  <si>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</si>
  <si>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</si>
  <si>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</si>
  <si>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</si>
  <si>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</si>
  <si>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</si>
  <si>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</si>
  <si>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</si>
  <si>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</si>
  <si>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</si>
  <si>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</si>
  <si>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</si>
  <si>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</si>
  <si>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</si>
  <si>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</si>
  <si>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</si>
  <si>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</si>
  <si>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</si>
  <si>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</si>
  <si>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</si>
  <si>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</si>
  <si>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</si>
  <si>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</si>
  <si>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</si>
  <si>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</si>
  <si>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</si>
  <si>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</si>
  <si>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</si>
  <si>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</si>
  <si>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</si>
  <si>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</si>
  <si>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</si>
  <si>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</si>
  <si>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</si>
  <si>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</si>
  <si>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</si>
  <si>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</si>
  <si>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</si>
  <si>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</si>
  <si>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</si>
  <si>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</si>
  <si>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</si>
  <si>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</si>
  <si>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</si>
  <si>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</si>
  <si>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</si>
  <si>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</si>
  <si>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</si>
  <si>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</si>
  <si>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</si>
  <si>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</si>
  <si>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</si>
  <si>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</si>
  <si>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</si>
  <si>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</si>
  <si>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</si>
  <si>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</si>
  <si>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</si>
  <si>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</si>
  <si>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</si>
  <si>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</si>
  <si>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</si>
  <si>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</si>
  <si>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</si>
  <si>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</si>
  <si>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</si>
  <si>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</si>
  <si>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</si>
  <si>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</si>
  <si>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</si>
  <si>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</si>
  <si>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</si>
  <si>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</si>
  <si>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</si>
  <si>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</si>
  <si>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</si>
  <si>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</si>
  <si>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</si>
  <si>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</si>
  <si>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</si>
  <si>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</si>
  <si>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</si>
  <si>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</si>
  <si>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</si>
  <si>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</si>
  <si>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</si>
  <si>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</si>
  <si>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</si>
  <si>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</si>
  <si>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</si>
  <si>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</si>
  <si>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</si>
  <si>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</si>
  <si>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</si>
  <si>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</si>
  <si>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</si>
  <si>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</si>
  <si>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</si>
  <si>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</si>
  <si>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</si>
  <si>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</si>
  <si>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</si>
  <si>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</si>
  <si>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</si>
  <si>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</si>
  <si>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</si>
  <si>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</si>
  <si>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</si>
  <si>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</si>
  <si>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</si>
  <si>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</si>
  <si>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</si>
  <si>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</si>
  <si>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</si>
  <si>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</si>
  <si>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</si>
  <si>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</si>
  <si>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</si>
  <si>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</si>
  <si>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</si>
  <si>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</si>
  <si>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</si>
  <si>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</si>
  <si>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</si>
  <si>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</si>
  <si>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</si>
  <si>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</si>
  <si>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</si>
  <si>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</si>
  <si>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</si>
  <si>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</si>
  <si>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</si>
  <si>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</si>
  <si>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</si>
  <si>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</si>
  <si>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</si>
  <si>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</si>
  <si>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</si>
  <si>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</si>
  <si>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</si>
  <si>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</si>
  <si>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</si>
  <si>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</si>
  <si>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</si>
  <si>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</si>
  <si>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</si>
  <si>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</si>
  <si>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</si>
  <si>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</si>
  <si>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</si>
  <si>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</si>
  <si>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</si>
  <si>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</si>
  <si>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</si>
  <si>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</si>
  <si>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</si>
  <si>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</si>
  <si>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</si>
  <si>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</si>
  <si>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</si>
  <si>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</si>
  <si>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</si>
  <si>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</si>
  <si>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</si>
  <si>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</si>
  <si>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</si>
  <si>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</si>
  <si>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</si>
  <si>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</si>
  <si>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</si>
  <si>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</si>
  <si>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</si>
  <si>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</si>
  <si>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</si>
  <si>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</si>
  <si>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</si>
  <si>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</si>
  <si>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</si>
  <si>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</si>
  <si>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</si>
  <si>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</si>
  <si>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</si>
  <si>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</si>
  <si>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</si>
  <si>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</si>
  <si>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</si>
  <si>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</si>
  <si>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</si>
  <si>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</si>
  <si>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</si>
  <si>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</si>
  <si>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</si>
  <si>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</si>
  <si>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</si>
  <si>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</si>
  <si>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</si>
  <si>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</si>
  <si>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</si>
  <si>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</si>
  <si>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</si>
  <si>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</si>
  <si>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</si>
  <si>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</si>
  <si>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</si>
  <si>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</si>
  <si>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</si>
  <si>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</si>
  <si>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</si>
  <si>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</si>
  <si>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</si>
  <si>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</si>
  <si>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</si>
  <si>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</si>
  <si>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</si>
  <si>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</si>
  <si>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</si>
  <si>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</si>
  <si>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</si>
  <si>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</si>
  <si>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</si>
  <si>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</si>
  <si>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</si>
  <si>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</si>
  <si>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</si>
  <si>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</si>
  <si>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</si>
  <si>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</si>
  <si>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</si>
  <si>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</si>
  <si>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</si>
  <si>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</si>
  <si>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</si>
  <si>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</si>
  <si>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</si>
  <si>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</si>
  <si>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</si>
  <si>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</si>
  <si>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</si>
  <si>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</si>
  <si>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</si>
  <si>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</si>
  <si>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</si>
  <si>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</si>
  <si>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</si>
  <si>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</si>
  <si>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</si>
  <si>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</si>
  <si>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</si>
  <si>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</si>
  <si>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</si>
  <si>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</si>
  <si>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</si>
  <si>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</si>
  <si>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</si>
  <si>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</si>
  <si>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</si>
  <si>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</si>
  <si>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</si>
  <si>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</si>
  <si>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</si>
  <si>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</si>
  <si>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</si>
  <si>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</si>
  <si>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</si>
  <si>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</si>
  <si>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</si>
  <si>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</si>
  <si>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</si>
  <si>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</si>
  <si>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</si>
  <si>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</si>
  <si>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</si>
  <si>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</si>
  <si>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</si>
  <si>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</si>
  <si>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</si>
  <si>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</si>
  <si>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</si>
  <si>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</si>
  <si>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</si>
  <si>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</si>
  <si>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</si>
  <si>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</si>
  <si>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</si>
  <si>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</si>
  <si>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</si>
  <si>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</si>
  <si>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</si>
  <si>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</si>
  <si>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</si>
  <si>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</si>
  <si>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</si>
  <si>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</si>
  <si>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</si>
  <si>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</si>
  <si>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</si>
  <si>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</si>
  <si>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</si>
  <si>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</si>
  <si>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</si>
  <si>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</si>
  <si>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</si>
  <si>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</si>
  <si>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</si>
  <si>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</si>
  <si>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</si>
  <si>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</si>
  <si>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</si>
  <si>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</si>
  <si>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</si>
  <si>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</si>
  <si>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</si>
  <si>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</si>
  <si>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</si>
  <si>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</si>
  <si>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</si>
  <si>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</si>
  <si>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</si>
  <si>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</si>
  <si>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</si>
  <si>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</si>
  <si>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</si>
  <si>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</si>
  <si>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</si>
  <si>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</si>
  <si>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</si>
  <si>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</si>
  <si>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</si>
  <si>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</si>
  <si>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</si>
  <si>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</si>
  <si>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</si>
  <si>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</si>
  <si>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</si>
  <si>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</si>
  <si>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</si>
  <si>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</si>
  <si>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</si>
  <si>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</si>
  <si>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</si>
  <si>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</si>
  <si>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</si>
  <si>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</si>
  <si>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</si>
  <si>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</si>
  <si>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</si>
  <si>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</si>
  <si>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</si>
  <si>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</si>
  <si>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</si>
  <si>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</si>
  <si>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</si>
  <si>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</si>
  <si>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</si>
  <si>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</si>
  <si>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</si>
  <si>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</si>
  <si>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</si>
  <si>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</si>
  <si>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</si>
  <si>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</si>
  <si>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</si>
  <si>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</si>
  <si>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</si>
  <si>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</si>
  <si>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</si>
  <si>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</si>
  <si>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</si>
  <si>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</si>
  <si>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</si>
  <si>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</si>
  <si>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</si>
  <si>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</si>
  <si>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</si>
  <si>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</si>
  <si>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</si>
  <si>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</si>
  <si>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</si>
  <si>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</si>
  <si>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</si>
  <si>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</si>
  <si>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</si>
  <si>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</si>
  <si>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</si>
  <si>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</si>
  <si>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</si>
  <si>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</si>
  <si>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</si>
  <si>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</si>
  <si>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</si>
  <si>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</si>
  <si>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</si>
  <si>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</si>
  <si>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</si>
  <si>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</si>
  <si>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</si>
  <si>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</si>
  <si>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</si>
  <si>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</si>
  <si>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</si>
  <si>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</si>
  <si>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</si>
  <si>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</si>
  <si>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</si>
  <si>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</si>
  <si>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</si>
  <si>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</si>
  <si>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</si>
  <si>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</si>
  <si>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</si>
  <si>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</si>
  <si>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</si>
  <si>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</si>
  <si>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</si>
  <si>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</si>
  <si>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</si>
  <si>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</si>
  <si>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</si>
  <si>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</si>
  <si>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</si>
  <si>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</si>
  <si>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</si>
  <si>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</si>
  <si>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</si>
  <si>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</si>
  <si>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</si>
  <si>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</si>
  <si>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</si>
  <si>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</si>
  <si>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</si>
  <si>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</si>
  <si>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</si>
  <si>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</si>
  <si>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</si>
  <si>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</si>
  <si>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</si>
  <si>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</si>
  <si>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</si>
  <si>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</si>
  <si>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</si>
  <si>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</si>
  <si>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</si>
  <si>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</si>
  <si>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</si>
  <si>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</si>
  <si>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</si>
  <si>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</si>
  <si>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</si>
  <si>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</si>
  <si>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</si>
  <si>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</si>
  <si>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</si>
  <si>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</si>
  <si>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</si>
  <si>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</si>
  <si>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</si>
  <si>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</si>
  <si>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</si>
  <si>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</si>
  <si>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</si>
  <si>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</si>
  <si>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</si>
  <si>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</si>
  <si>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</si>
  <si>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</si>
  <si>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</si>
  <si>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</si>
  <si>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</si>
  <si>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</si>
  <si>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</si>
  <si>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</si>
  <si>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</si>
  <si>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</si>
  <si>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</si>
  <si>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</si>
  <si>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</si>
  <si>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</si>
  <si>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</si>
  <si>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</si>
  <si>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</si>
  <si>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</si>
  <si>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</si>
  <si>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</si>
  <si>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</si>
  <si>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</si>
  <si>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</si>
  <si>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</si>
  <si>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</si>
  <si>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</si>
  <si>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</si>
  <si>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</si>
  <si>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</si>
  <si>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</si>
  <si>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</si>
  <si>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</si>
  <si>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</si>
  <si>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</si>
  <si>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</si>
  <si>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</si>
  <si>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</si>
  <si>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</si>
  <si>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</si>
  <si>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</si>
  <si>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</si>
  <si>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</si>
  <si>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</si>
  <si>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</si>
  <si>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</si>
  <si>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</si>
  <si>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</si>
  <si>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</si>
  <si>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</si>
  <si>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</si>
  <si>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</si>
  <si>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</si>
  <si>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</si>
  <si>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</si>
  <si>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</si>
  <si>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</si>
  <si>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</si>
  <si>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</si>
  <si>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</si>
  <si>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</si>
  <si>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</si>
  <si>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</si>
  <si>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</si>
  <si>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</si>
  <si>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</si>
  <si>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</si>
  <si>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</si>
  <si>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</si>
  <si>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</si>
  <si>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</si>
  <si>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</si>
  <si>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</si>
  <si>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</si>
  <si>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</si>
  <si>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</si>
  <si>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</si>
  <si>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</si>
  <si>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</si>
  <si>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</si>
  <si>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</si>
  <si>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</si>
  <si>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</si>
  <si>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</si>
  <si>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</si>
  <si>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</si>
  <si>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</si>
  <si>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</si>
  <si>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</si>
  <si>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</si>
  <si>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</si>
  <si>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</si>
  <si>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</si>
  <si>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</si>
  <si>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</si>
  <si>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</si>
  <si>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</si>
  <si>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</si>
  <si>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</si>
  <si>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</si>
  <si>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</si>
  <si>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</si>
  <si>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</si>
  <si>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</si>
  <si>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</si>
  <si>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</si>
  <si>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</si>
  <si>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</si>
  <si>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</si>
  <si>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</si>
  <si>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</si>
  <si>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</si>
  <si>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</si>
  <si>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</si>
  <si>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</si>
  <si>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</si>
  <si>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</si>
  <si>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</si>
  <si>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</si>
  <si>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</si>
  <si>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</si>
  <si>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</si>
  <si>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</si>
  <si>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</si>
  <si>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</si>
  <si>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</si>
  <si>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</si>
  <si>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</si>
  <si>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</si>
  <si>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</si>
  <si>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</si>
  <si>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</si>
  <si>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</si>
  <si>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</si>
  <si>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</si>
  <si>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</si>
  <si>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</si>
  <si>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</si>
  <si>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</si>
  <si>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</si>
  <si>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</si>
  <si>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</si>
  <si>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</si>
  <si>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</si>
  <si>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</si>
  <si>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</si>
  <si>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</si>
  <si>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</si>
  <si>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</si>
  <si>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</si>
  <si>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</si>
  <si>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</si>
  <si>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</si>
  <si>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</si>
  <si>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</si>
  <si>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</si>
  <si>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</si>
  <si>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</si>
  <si>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</si>
  <si>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</si>
  <si>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</si>
  <si>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</si>
  <si>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</si>
  <si>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</si>
  <si>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</si>
  <si>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</si>
  <si>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</si>
  <si>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</si>
  <si>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</si>
  <si>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</si>
  <si>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</si>
  <si>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</si>
  <si>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</si>
  <si>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</si>
  <si>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</si>
  <si>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</si>
  <si>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</si>
  <si>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</si>
  <si>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</si>
  <si>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</si>
  <si>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</si>
  <si>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</si>
  <si>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</si>
  <si>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</si>
  <si>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</si>
  <si>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</si>
  <si>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</si>
  <si>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</si>
  <si>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</si>
  <si>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</si>
  <si>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</si>
  <si>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</si>
  <si>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</si>
  <si>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</si>
  <si>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</si>
  <si>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</si>
  <si>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</si>
  <si>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</si>
  <si>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</si>
  <si>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</si>
  <si>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</si>
  <si>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</si>
  <si>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</si>
  <si>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</si>
  <si>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</si>
  <si>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</si>
  <si>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</si>
  <si>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</si>
  <si>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</si>
  <si>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</si>
  <si>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</si>
  <si>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</si>
  <si>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</si>
  <si>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</si>
  <si>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</si>
  <si>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</si>
  <si>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</si>
  <si>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</si>
  <si>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</si>
  <si>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</si>
  <si>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</si>
  <si>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</si>
  <si>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</si>
  <si>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</si>
  <si>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</si>
  <si>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</si>
  <si>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</si>
  <si>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</si>
  <si>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</si>
  <si>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</si>
  <si>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</si>
  <si>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</si>
  <si>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</si>
  <si>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</si>
  <si>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</si>
  <si>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</si>
  <si>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</si>
  <si>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</si>
  <si>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</si>
  <si>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</si>
  <si>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</si>
  <si>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</si>
  <si>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</si>
  <si>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</si>
  <si>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</si>
  <si>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</si>
  <si>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</si>
  <si>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</si>
  <si>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</si>
  <si>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</si>
  <si>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</si>
  <si>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</si>
  <si>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</si>
  <si>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</si>
  <si>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</si>
  <si>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</si>
  <si>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</si>
  <si>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</si>
  <si>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</si>
  <si>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</si>
  <si>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</si>
  <si>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</si>
  <si>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</si>
  <si>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</si>
  <si>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</si>
  <si>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</si>
  <si>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</si>
  <si>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</si>
  <si>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</si>
  <si>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</si>
  <si>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</si>
  <si>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</si>
  <si>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</si>
  <si>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</si>
  <si>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</si>
  <si>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</si>
  <si>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</si>
  <si>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</si>
  <si>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</si>
  <si>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</si>
  <si>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</si>
  <si>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</si>
  <si>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</si>
  <si>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</si>
  <si>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</si>
  <si>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</si>
  <si>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</si>
  <si>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</si>
  <si>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</si>
  <si>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</si>
  <si>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</si>
  <si>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</si>
  <si>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</si>
  <si>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</si>
  <si>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</si>
  <si>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</si>
  <si>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</si>
  <si>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</si>
  <si>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</si>
  <si>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</si>
  <si>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</si>
  <si>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</si>
  <si>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</si>
  <si>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</si>
  <si>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</si>
  <si>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</si>
  <si>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</si>
  <si>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</si>
  <si>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</si>
  <si>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</si>
  <si>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</si>
  <si>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</si>
  <si>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</si>
  <si>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</si>
  <si>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</si>
  <si>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</si>
  <si>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</si>
  <si>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</si>
  <si>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</si>
  <si>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</si>
  <si>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</si>
  <si>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</si>
  <si>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</si>
  <si>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</si>
  <si>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</si>
  <si>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</si>
  <si>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</si>
  <si>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</si>
  <si>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</si>
  <si>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</si>
  <si>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</si>
  <si>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</si>
  <si>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</si>
  <si>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</si>
  <si>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</si>
  <si>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</si>
  <si>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</si>
  <si>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</si>
  <si>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</si>
  <si>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</si>
  <si>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</si>
  <si>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</si>
  <si>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</si>
  <si>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</si>
  <si>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</si>
  <si>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</si>
  <si>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</si>
  <si>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</si>
  <si>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</si>
  <si>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</si>
  <si>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</si>
  <si>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</si>
  <si>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</si>
  <si>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</si>
  <si>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</si>
  <si>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</si>
  <si>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</si>
  <si>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</si>
  <si>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</si>
  <si>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</si>
  <si>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</si>
  <si>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</si>
  <si>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</si>
  <si>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</si>
  <si>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</si>
  <si>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</si>
  <si>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</si>
  <si>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</si>
  <si>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</si>
  <si>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</si>
  <si>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</si>
  <si>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</si>
  <si>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</si>
  <si>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</si>
  <si>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</si>
  <si>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</si>
  <si>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</si>
  <si>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</si>
  <si>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</si>
  <si>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</si>
  <si>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</si>
  <si>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</si>
  <si>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</si>
  <si>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</si>
  <si>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</si>
  <si>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</si>
  <si>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</si>
  <si>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</si>
  <si>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</si>
  <si>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</si>
  <si>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</si>
  <si>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</si>
  <si>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</si>
  <si>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</si>
  <si>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</si>
  <si>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</si>
  <si>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</si>
  <si>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</si>
  <si>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</si>
  <si>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</si>
  <si>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</si>
  <si>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</si>
  <si>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</si>
  <si>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</si>
  <si>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</si>
  <si>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</si>
  <si>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</si>
  <si>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</si>
  <si>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</si>
  <si>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</si>
  <si>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</si>
  <si>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</si>
  <si>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</si>
  <si>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</si>
  <si>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</si>
  <si>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</si>
  <si>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</si>
  <si>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</si>
  <si>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</si>
  <si>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</si>
  <si>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</si>
  <si>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</si>
  <si>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</si>
  <si>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</si>
  <si>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</si>
  <si>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</si>
  <si>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</si>
  <si>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</si>
  <si>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</si>
  <si>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</si>
  <si>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</si>
  <si>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</si>
  <si>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</si>
  <si>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</si>
  <si>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</si>
  <si>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</si>
  <si>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</si>
  <si>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</si>
  <si>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</si>
  <si>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</si>
  <si>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</si>
  <si>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</si>
  <si>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</si>
  <si>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</si>
  <si>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</si>
  <si>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</si>
  <si>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</si>
  <si>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</si>
  <si>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</si>
  <si>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</si>
  <si>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</si>
  <si>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</si>
  <si>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</si>
  <si>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</si>
  <si>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</si>
  <si>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</si>
  <si>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</si>
  <si>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</si>
  <si>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</si>
  <si>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</si>
  <si>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</si>
  <si>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</si>
  <si>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</si>
  <si>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</si>
  <si>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</si>
  <si>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</si>
  <si>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</si>
  <si>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</si>
  <si>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</si>
  <si>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</si>
  <si>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</si>
  <si>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</si>
  <si>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</si>
  <si>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</si>
  <si>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</si>
  <si>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</si>
  <si>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</si>
  <si>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</si>
  <si>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</si>
  <si>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</si>
  <si>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</si>
  <si>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</si>
  <si>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</si>
  <si>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</si>
  <si>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</si>
  <si>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</si>
  <si>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</si>
  <si>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</si>
  <si>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</si>
  <si>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</si>
  <si>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</si>
  <si>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</si>
  <si>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</si>
  <si>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</si>
  <si>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</si>
  <si>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</si>
  <si>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</si>
  <si>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</si>
  <si>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</si>
  <si>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</si>
  <si>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</si>
  <si>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</si>
  <si>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</si>
  <si>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</si>
  <si>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</si>
  <si>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</si>
  <si>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</si>
  <si>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</si>
  <si>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</si>
  <si>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</si>
  <si>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</si>
  <si>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</si>
  <si>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</si>
  <si>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</si>
  <si>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</si>
  <si>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</si>
  <si>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</si>
  <si>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</si>
  <si>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</si>
  <si>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</si>
  <si>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</si>
  <si>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</si>
  <si>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</si>
  <si>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</si>
  <si>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</si>
  <si>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</si>
  <si>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</si>
  <si>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</si>
  <si>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</si>
  <si>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</si>
  <si>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</si>
  <si>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</si>
  <si>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</si>
  <si>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</si>
  <si>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</si>
  <si>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</si>
  <si>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</si>
  <si>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</si>
  <si>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</si>
  <si>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</si>
  <si>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</si>
  <si>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</si>
  <si>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</si>
  <si>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</si>
  <si>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</si>
  <si>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</si>
  <si>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</si>
  <si>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</si>
  <si>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</si>
  <si>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</si>
  <si>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</si>
  <si>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</si>
  <si>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</si>
  <si>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</si>
  <si>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</si>
  <si>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</si>
  <si>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</si>
  <si>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</si>
  <si>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</si>
  <si>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</si>
  <si>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</si>
  <si>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</si>
  <si>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</si>
  <si>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</si>
  <si>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</si>
  <si>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</si>
  <si>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</si>
  <si>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</si>
  <si>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</si>
  <si>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</si>
  <si>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</si>
  <si>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</si>
  <si>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</si>
  <si>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</si>
  <si>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</si>
  <si>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</si>
  <si>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</si>
  <si>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</si>
  <si>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</si>
  <si>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</si>
  <si>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</si>
  <si>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</si>
  <si>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</si>
  <si>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</si>
  <si>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</si>
  <si>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</si>
  <si>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</si>
  <si>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</si>
  <si>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</si>
  <si>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</si>
  <si>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</si>
  <si>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</si>
  <si>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</si>
  <si>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</si>
  <si>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</si>
  <si>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</si>
  <si>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</si>
  <si>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</si>
  <si>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</si>
  <si>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</si>
  <si>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</si>
  <si>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</si>
  <si>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</si>
  <si>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</si>
  <si>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</si>
  <si>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</si>
  <si>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</si>
  <si>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</si>
  <si>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</si>
  <si>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</si>
  <si>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</si>
  <si>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</si>
  <si>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</si>
  <si>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</si>
  <si>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</si>
  <si>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</si>
  <si>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</si>
  <si>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</si>
  <si>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</si>
  <si>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</si>
  <si>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</si>
  <si>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</si>
  <si>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</si>
  <si>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</si>
  <si>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</si>
  <si>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</si>
  <si>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</si>
  <si>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</si>
  <si>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</si>
  <si>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</si>
  <si>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</si>
  <si>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</si>
  <si>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</si>
  <si>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</si>
  <si>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</si>
  <si>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</si>
  <si>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</si>
  <si>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</si>
  <si>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</si>
  <si>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</si>
  <si>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</si>
  <si>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</si>
  <si>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</si>
  <si>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</si>
  <si>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</si>
  <si>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</si>
  <si>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</si>
  <si>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</si>
  <si>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</si>
  <si>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</si>
  <si>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</si>
  <si>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</si>
  <si>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</si>
  <si>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</si>
  <si>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</si>
  <si>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</si>
  <si>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</si>
  <si>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</si>
  <si>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</si>
  <si>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</si>
  <si>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</si>
  <si>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</si>
  <si>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</si>
  <si>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</si>
  <si>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</si>
  <si>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</si>
  <si>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</si>
  <si>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</si>
  <si>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</si>
  <si>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</si>
  <si>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</si>
  <si>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</si>
  <si>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</si>
  <si>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</si>
  <si>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</si>
  <si>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</si>
  <si>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</si>
  <si>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</si>
  <si>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</si>
  <si>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</si>
  <si>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</si>
  <si>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</si>
  <si>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</si>
  <si>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</si>
  <si>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</si>
  <si>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</si>
  <si>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</si>
  <si>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</si>
  <si>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</si>
  <si>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</si>
  <si>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</si>
  <si>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</si>
  <si>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</si>
  <si>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</si>
  <si>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</si>
  <si>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</si>
  <si>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</si>
  <si>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</si>
  <si>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</si>
  <si>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</si>
  <si>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</si>
  <si>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</si>
  <si>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</si>
  <si>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</si>
  <si>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</si>
  <si>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</si>
  <si>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</si>
  <si>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</si>
  <si>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</si>
  <si>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</si>
  <si>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</si>
  <si>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</si>
  <si>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</si>
  <si>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</si>
  <si>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</si>
  <si>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</si>
  <si>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</si>
  <si>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</si>
  <si>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</si>
  <si>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</si>
  <si>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</si>
  <si>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</si>
  <si>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</si>
  <si>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</si>
  <si>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</si>
  <si>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</si>
  <si>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</si>
  <si>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</si>
  <si>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</si>
  <si>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</si>
  <si>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</si>
  <si>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</si>
  <si>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</si>
  <si>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</si>
  <si>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</si>
  <si>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</si>
  <si>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</si>
  <si>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</si>
  <si>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</si>
  <si>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</si>
  <si>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</si>
  <si>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</si>
  <si>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</si>
  <si>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</si>
  <si>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</si>
  <si>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</si>
  <si>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</si>
  <si>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</si>
  <si>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</si>
  <si>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</si>
  <si>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</si>
  <si>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</si>
  <si>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</si>
  <si>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</si>
  <si>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</si>
  <si>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</si>
  <si>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</si>
  <si>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</si>
  <si>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</si>
  <si>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</si>
  <si>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</si>
  <si>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</si>
  <si>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</si>
  <si>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</si>
  <si>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</si>
  <si>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</si>
  <si>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</si>
  <si>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</si>
  <si>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</si>
  <si>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</si>
  <si>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</si>
  <si>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</si>
  <si>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</si>
  <si>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</si>
  <si>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</si>
  <si>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</si>
  <si>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</si>
  <si>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</si>
  <si>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</si>
  <si>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</si>
  <si>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</si>
  <si>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</si>
  <si>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</si>
  <si>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</si>
  <si>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</si>
  <si>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</si>
  <si>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</si>
  <si>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</si>
  <si>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</si>
  <si>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</si>
  <si>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</si>
  <si>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</si>
  <si>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</si>
  <si>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</si>
  <si>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</si>
  <si>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</si>
  <si>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</si>
  <si>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</si>
  <si>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</si>
  <si>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</si>
  <si>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</si>
  <si>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</si>
  <si>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</si>
  <si>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</si>
  <si>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</si>
  <si>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</si>
  <si>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</si>
  <si>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</si>
  <si>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</si>
  <si>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</si>
  <si>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</si>
  <si>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</si>
  <si>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</si>
  <si>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</si>
  <si>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</si>
  <si>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</si>
  <si>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</si>
  <si>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</si>
  <si>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</si>
  <si>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</si>
  <si>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</si>
  <si>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</si>
  <si>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</si>
  <si>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</si>
  <si>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</si>
  <si>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</si>
  <si>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</si>
  <si>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</si>
  <si>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</si>
  <si>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</si>
  <si>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</si>
  <si>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</si>
  <si>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</si>
  <si>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</si>
  <si>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</si>
  <si>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</si>
  <si>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</si>
  <si>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</si>
  <si>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</si>
  <si>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</si>
  <si>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</si>
  <si>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</si>
  <si>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</si>
  <si>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</si>
  <si>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</si>
  <si>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</si>
  <si>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</si>
  <si>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</si>
  <si>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</si>
  <si>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</si>
  <si>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</si>
  <si>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</si>
  <si>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</si>
  <si>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</si>
  <si>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</si>
  <si>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</si>
  <si>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</si>
  <si>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</si>
  <si>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</si>
  <si>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</si>
  <si>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</si>
  <si>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</si>
  <si>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</si>
  <si>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</si>
  <si>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</si>
  <si>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</si>
  <si>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</si>
  <si>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</si>
  <si>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</si>
  <si>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</si>
  <si>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</si>
  <si>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</si>
  <si>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</si>
  <si>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</si>
  <si>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</si>
  <si>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</si>
  <si>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</si>
  <si>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</si>
  <si>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</si>
  <si>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</si>
  <si>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</si>
  <si>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</si>
  <si>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</si>
  <si>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</si>
  <si>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</si>
  <si>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</si>
  <si>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</si>
  <si>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</si>
  <si>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</si>
  <si>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</si>
  <si>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</si>
  <si>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</si>
  <si>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</si>
  <si>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</si>
  <si>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</si>
  <si>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</si>
  <si>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</si>
  <si>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</si>
  <si>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</si>
  <si>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</si>
  <si>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</si>
  <si>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</si>
  <si>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</si>
  <si>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</si>
  <si>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</si>
  <si>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</si>
  <si>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</si>
  <si>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</si>
  <si>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</si>
  <si>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</si>
  <si>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</si>
  <si>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</si>
  <si>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</si>
  <si>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</si>
  <si>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</si>
  <si>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</si>
  <si>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</si>
  <si>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</si>
  <si>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</si>
  <si>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</si>
  <si>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</si>
  <si>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</si>
  <si>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</si>
  <si>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</si>
  <si>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</si>
  <si>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</si>
  <si>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</si>
  <si>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</si>
  <si>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</si>
  <si>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</si>
  <si>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</si>
  <si>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</si>
  <si>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</si>
  <si>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</si>
  <si>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</si>
  <si>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</si>
  <si>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</si>
  <si>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</si>
  <si>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</si>
  <si>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</si>
  <si>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</si>
  <si>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</si>
  <si>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</si>
  <si>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</si>
  <si>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</si>
  <si>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</si>
  <si>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</si>
  <si>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</si>
  <si>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</si>
  <si>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</si>
  <si>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</si>
  <si>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</si>
  <si>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</si>
  <si>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</si>
  <si>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</si>
  <si>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</si>
  <si>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</si>
  <si>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</si>
  <si>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</si>
  <si>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</si>
  <si>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</si>
  <si>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</si>
  <si>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</si>
  <si>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</si>
  <si>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</si>
  <si>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</si>
  <si>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</si>
  <si>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</si>
  <si>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</si>
  <si>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</si>
  <si>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</si>
  <si>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</si>
  <si>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</si>
  <si>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</si>
  <si>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</si>
  <si>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</si>
  <si>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</si>
  <si>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</si>
  <si>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</si>
  <si>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</si>
  <si>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</si>
  <si>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</si>
  <si>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</si>
  <si>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</si>
  <si>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</si>
  <si>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</si>
  <si>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</si>
  <si>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</si>
  <si>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</si>
  <si>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</si>
  <si>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</si>
  <si>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</si>
  <si>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</si>
  <si>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</si>
  <si>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</si>
  <si>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</si>
  <si>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</si>
  <si>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</si>
  <si>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</si>
  <si>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</si>
  <si>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</si>
  <si>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</si>
  <si>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</si>
  <si>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</si>
  <si>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</si>
  <si>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</si>
  <si>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</si>
  <si>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</si>
  <si>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</si>
  <si>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</si>
  <si>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</si>
  <si>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</si>
  <si>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</si>
  <si>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</si>
  <si>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</si>
  <si>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</si>
  <si>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</si>
  <si>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</si>
  <si>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</si>
  <si>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</si>
  <si>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</si>
  <si>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</si>
  <si>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</si>
  <si>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</si>
  <si>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</si>
  <si>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</si>
  <si>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</si>
  <si>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</si>
  <si>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</si>
  <si>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</si>
  <si>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</si>
  <si>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</si>
  <si>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</si>
  <si>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</si>
  <si>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</si>
  <si>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</si>
  <si>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</si>
  <si>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</si>
  <si>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</si>
  <si>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</si>
  <si>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</si>
  <si>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</si>
  <si>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</si>
  <si>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</si>
  <si>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</si>
  <si>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</si>
  <si>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</si>
  <si>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</si>
  <si>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</si>
  <si>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</si>
  <si>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</si>
  <si>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</si>
  <si>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</si>
  <si>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</si>
  <si>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</si>
  <si>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</si>
  <si>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</si>
  <si>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</si>
  <si>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</si>
  <si>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</si>
  <si>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</si>
  <si>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</si>
  <si>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</si>
  <si>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</si>
  <si>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</si>
  <si>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</si>
  <si>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</si>
  <si>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</si>
  <si>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</si>
  <si>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</si>
  <si>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</si>
  <si>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</si>
  <si>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</si>
  <si>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</si>
  <si>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</si>
  <si>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</si>
  <si>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</si>
  <si>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</si>
  <si>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</si>
  <si>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</si>
  <si>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</si>
  <si>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</si>
  <si>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</si>
  <si>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</si>
  <si>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</si>
  <si>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</si>
  <si>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</si>
  <si>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</si>
  <si>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</si>
  <si>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</si>
  <si>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</si>
  <si>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</si>
  <si>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</si>
  <si>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</si>
  <si>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</si>
  <si>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</si>
  <si>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</si>
  <si>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</si>
  <si>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</si>
  <si>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</si>
  <si>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</si>
  <si>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</si>
  <si>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</si>
  <si>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</si>
  <si>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</si>
  <si>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</si>
  <si>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</si>
  <si>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</si>
  <si>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</si>
  <si>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</si>
  <si>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</si>
  <si>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</si>
  <si>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</si>
  <si>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</si>
  <si>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</si>
  <si>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</si>
  <si>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</si>
  <si>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</si>
  <si>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</si>
  <si>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</si>
  <si>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</si>
  <si>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</si>
  <si>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</si>
  <si>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</si>
  <si>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</si>
  <si>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</si>
  <si>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</si>
  <si>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</si>
  <si>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</si>
  <si>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</si>
  <si>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</si>
  <si>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</si>
  <si>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</si>
  <si>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</si>
  <si>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</si>
  <si>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</si>
  <si>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</si>
  <si>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</si>
  <si>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</si>
  <si>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</si>
  <si>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</si>
  <si>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</si>
  <si>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</si>
  <si>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</si>
  <si>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</si>
  <si>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</si>
  <si>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</si>
  <si>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</si>
  <si>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</si>
  <si>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</si>
  <si>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</si>
  <si>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</si>
  <si>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</si>
  <si>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</si>
  <si>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</si>
  <si>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</si>
  <si>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</si>
  <si>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</si>
  <si>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</si>
  <si>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</si>
  <si>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</si>
  <si>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</si>
  <si>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</si>
  <si>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</si>
  <si>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</si>
  <si>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</si>
  <si>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</si>
  <si>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</si>
  <si>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</si>
  <si>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</si>
  <si>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</si>
  <si>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</si>
  <si>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</si>
  <si>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</si>
  <si>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</si>
  <si>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</si>
  <si>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</si>
  <si>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</si>
  <si>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</si>
  <si>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</si>
  <si>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</si>
  <si>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</si>
  <si>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</si>
  <si>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</si>
  <si>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</si>
  <si>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</si>
  <si>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</si>
  <si>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</si>
  <si>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</si>
  <si>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</si>
  <si>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</si>
  <si>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</si>
  <si>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</si>
  <si>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</si>
  <si>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</si>
  <si>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</si>
  <si>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</si>
  <si>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</si>
  <si>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</si>
  <si>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</si>
  <si>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</si>
  <si>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</si>
  <si>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</si>
  <si>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</si>
  <si>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</si>
  <si>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</si>
  <si>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</si>
  <si>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</si>
  <si>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</si>
  <si>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</si>
  <si>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</si>
  <si>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</si>
  <si>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</si>
  <si>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</si>
  <si>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</si>
  <si>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</si>
  <si>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</si>
  <si>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</si>
  <si>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</si>
  <si>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</si>
  <si>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</si>
  <si>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</si>
  <si>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</si>
  <si>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</si>
  <si>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</si>
  <si>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</si>
  <si>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</si>
  <si>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</si>
  <si>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</si>
  <si>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</si>
  <si>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</si>
  <si>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</si>
  <si>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</si>
  <si>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</si>
  <si>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</si>
  <si>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</si>
  <si>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</si>
  <si>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</si>
  <si>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</si>
  <si>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</si>
  <si>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</si>
  <si>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</si>
  <si>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</si>
  <si>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</si>
  <si>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</si>
  <si>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</si>
  <si>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</si>
  <si>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</si>
  <si>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</si>
  <si>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</si>
  <si>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</si>
  <si>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</si>
  <si>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</si>
  <si>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</si>
  <si>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</si>
  <si>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</si>
  <si>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</si>
  <si>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</si>
  <si>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</si>
  <si>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</si>
  <si>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</si>
  <si>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</si>
  <si>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</si>
  <si>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</si>
  <si>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</si>
  <si>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</si>
  <si>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</si>
  <si>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</si>
  <si>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</si>
  <si>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</si>
  <si>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</si>
  <si>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</si>
  <si>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</si>
  <si>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</si>
  <si>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</si>
  <si>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</si>
  <si>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</si>
  <si>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</si>
  <si>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</si>
  <si>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</si>
  <si>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</si>
  <si>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</si>
  <si>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</si>
  <si>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</si>
  <si>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</si>
  <si>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</si>
  <si>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</si>
  <si>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</si>
  <si>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</si>
  <si>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</si>
  <si>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</si>
  <si>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</si>
  <si>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</si>
  <si>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</si>
  <si>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</si>
  <si>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</si>
  <si>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</si>
  <si>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</si>
  <si>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</si>
  <si>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</si>
  <si>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</si>
  <si>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</si>
  <si>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</si>
  <si>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</si>
  <si>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</si>
  <si>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</si>
  <si>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</si>
  <si>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</si>
  <si>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</si>
  <si>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</si>
  <si>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</si>
  <si>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</si>
  <si>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</si>
  <si>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</si>
  <si>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</si>
  <si>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</si>
  <si>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</si>
  <si>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</si>
  <si>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</si>
  <si>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</si>
  <si>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</si>
  <si>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</si>
  <si>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</si>
  <si>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</si>
  <si>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</si>
  <si>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</si>
  <si>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</si>
  <si>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</si>
  <si>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</si>
  <si>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</si>
  <si>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</si>
  <si>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</si>
  <si>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</si>
  <si>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</si>
  <si>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</si>
  <si>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</si>
  <si>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</si>
  <si>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</si>
  <si>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</si>
  <si>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</si>
  <si>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</si>
  <si>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</si>
  <si>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</si>
  <si>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</si>
  <si>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</si>
  <si>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</si>
  <si>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</si>
  <si>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</si>
  <si>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</si>
  <si>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</si>
  <si>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</si>
  <si>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</si>
  <si>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</si>
  <si>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</si>
  <si>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</si>
  <si>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</si>
  <si>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</si>
  <si>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</si>
  <si>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</si>
  <si>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</si>
  <si>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</si>
  <si>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</si>
  <si>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</si>
  <si>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</si>
  <si>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</si>
  <si>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</si>
  <si>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</si>
  <si>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</si>
  <si>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</si>
  <si>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</si>
  <si>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</si>
  <si>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</si>
  <si>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</si>
  <si>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</si>
  <si>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</si>
  <si>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</si>
  <si>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</si>
  <si>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</si>
  <si>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</si>
  <si>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</si>
  <si>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</si>
  <si>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</si>
  <si>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</si>
  <si>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</si>
  <si>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</si>
  <si>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</si>
  <si>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</si>
  <si>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</si>
  <si>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</si>
  <si>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</si>
  <si>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</si>
  <si>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</si>
  <si>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</si>
  <si>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</si>
  <si>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</si>
  <si>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</si>
  <si>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</si>
  <si>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</si>
  <si>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</si>
  <si>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</si>
  <si>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</si>
  <si>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</si>
  <si>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</si>
  <si>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</si>
  <si>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</si>
  <si>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</si>
  <si>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</si>
  <si>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</si>
  <si>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</si>
  <si>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</si>
  <si>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</si>
  <si>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</si>
  <si>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</si>
  <si>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</si>
  <si>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</si>
  <si>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</si>
  <si>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</si>
  <si>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</si>
  <si>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</si>
  <si>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</si>
  <si>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</si>
  <si>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</si>
  <si>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</si>
  <si>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</si>
  <si>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</si>
  <si>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</si>
  <si>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</si>
  <si>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</si>
  <si>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</si>
  <si>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</si>
  <si>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</si>
  <si>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</si>
  <si>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</si>
  <si>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</si>
  <si>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</si>
  <si>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</si>
  <si>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</si>
  <si>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</si>
  <si>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</si>
  <si>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</si>
  <si>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</si>
  <si>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</si>
  <si>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</si>
  <si>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</si>
  <si>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</si>
  <si>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</si>
  <si>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</si>
  <si>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</si>
  <si>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</si>
  <si>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</si>
  <si>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</si>
  <si>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</si>
  <si>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</si>
  <si>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</si>
  <si>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</si>
  <si>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</si>
  <si>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</si>
  <si>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</si>
  <si>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</si>
  <si>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</si>
  <si>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</si>
  <si>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</si>
  <si>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</si>
  <si>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</si>
  <si>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</si>
  <si>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</si>
  <si>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</si>
  <si>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</si>
  <si>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</si>
  <si>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</si>
  <si>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</si>
  <si>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</si>
  <si>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</si>
  <si>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</si>
  <si>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</si>
  <si>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</si>
  <si>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</si>
  <si>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</si>
  <si>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</si>
  <si>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</si>
  <si>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</si>
  <si>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</si>
  <si>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</si>
  <si>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</si>
  <si>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</si>
  <si>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</si>
  <si>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</si>
  <si>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</si>
  <si>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</si>
  <si>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</si>
  <si>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</si>
  <si>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</si>
  <si>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</si>
  <si>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</si>
  <si>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</si>
  <si>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</si>
  <si>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</si>
  <si>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</si>
  <si>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</si>
  <si>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</si>
  <si>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</si>
  <si>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</si>
  <si>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</si>
  <si>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</si>
  <si>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</si>
  <si>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</si>
  <si>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</si>
  <si>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</si>
  <si>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</si>
  <si>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</si>
  <si>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</si>
  <si>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</si>
  <si>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</si>
  <si>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</si>
  <si>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</si>
  <si>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</si>
  <si>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</si>
  <si>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</si>
  <si>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</si>
  <si>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</si>
  <si>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</si>
  <si>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</si>
  <si>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</si>
  <si>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</si>
  <si>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</si>
  <si>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</si>
  <si>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</si>
  <si>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</si>
  <si>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</si>
  <si>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</si>
  <si>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</si>
  <si>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</si>
  <si>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</si>
  <si>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</si>
  <si>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</si>
  <si>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</si>
  <si>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</si>
  <si>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</si>
  <si>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</si>
  <si>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</si>
  <si>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</si>
  <si>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</si>
  <si>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</si>
  <si>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</si>
  <si>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</si>
  <si>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</si>
  <si>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</si>
  <si>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</si>
  <si>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</si>
  <si>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</si>
  <si>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</si>
  <si>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</si>
  <si>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</si>
  <si>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</si>
  <si>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</si>
  <si>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</si>
  <si>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</si>
  <si>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</si>
  <si>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</si>
  <si>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</si>
  <si>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</si>
  <si>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</si>
  <si>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</si>
  <si>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</si>
  <si>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</si>
  <si>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</si>
  <si>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</si>
  <si>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</si>
  <si>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</si>
  <si>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</si>
  <si>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</si>
  <si>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</si>
  <si>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</si>
  <si>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</si>
  <si>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</si>
  <si>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</si>
  <si>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</si>
  <si>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</si>
  <si>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</si>
  <si>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</si>
  <si>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</si>
  <si>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</si>
  <si>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</si>
  <si>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</si>
  <si>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</si>
  <si>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</si>
  <si>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</si>
  <si>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</si>
  <si>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</si>
  <si>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</si>
  <si>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</si>
  <si>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</si>
  <si>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</si>
  <si>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</si>
  <si>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</si>
  <si>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</si>
  <si>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</si>
  <si>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</si>
  <si>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</si>
  <si>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</si>
  <si>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</si>
  <si>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</si>
  <si>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</si>
  <si>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</si>
  <si>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</si>
  <si>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</si>
  <si>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</si>
  <si>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</si>
  <si>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</si>
  <si>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</si>
  <si>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</si>
  <si>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</si>
  <si>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</si>
  <si>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</si>
  <si>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</si>
  <si>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</si>
  <si>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</si>
  <si>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</si>
  <si>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</si>
  <si>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</si>
  <si>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</si>
  <si>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</si>
  <si>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</si>
  <si>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</si>
  <si>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</si>
  <si>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</si>
  <si>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</si>
  <si>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</si>
  <si>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</si>
  <si>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</si>
  <si>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</si>
  <si>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</si>
  <si>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</si>
  <si>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</si>
  <si>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</si>
  <si>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</si>
  <si>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</si>
  <si>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</si>
  <si>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</si>
  <si>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</si>
  <si>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</si>
  <si>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</si>
  <si>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</si>
  <si>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</si>
  <si>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</si>
  <si>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</si>
  <si>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</si>
  <si>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</si>
  <si>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</si>
  <si>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</si>
  <si>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</si>
  <si>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</si>
  <si>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</si>
  <si>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</si>
  <si>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</si>
  <si>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</si>
  <si>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</si>
  <si>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</si>
  <si>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</si>
  <si>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</si>
  <si>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</si>
  <si>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</si>
  <si>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</si>
  <si>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</si>
  <si>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</si>
  <si>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</si>
  <si>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</si>
  <si>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</si>
  <si>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</si>
  <si>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</si>
  <si>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</si>
  <si>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</si>
  <si>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</si>
  <si>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</si>
  <si>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</si>
  <si>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</si>
  <si>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</si>
  <si>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</si>
  <si>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</si>
  <si>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</si>
  <si>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</si>
  <si>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</si>
  <si>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</si>
  <si>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</si>
  <si>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</si>
  <si>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</si>
  <si>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</si>
  <si>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</si>
  <si>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</si>
  <si>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</si>
  <si>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</si>
  <si>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</si>
  <si>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</si>
  <si>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</si>
  <si>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</si>
  <si>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</si>
  <si>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</si>
  <si>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</si>
  <si>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</si>
  <si>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</si>
  <si>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</si>
  <si>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</si>
  <si>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</si>
  <si>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</si>
  <si>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</si>
  <si>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</si>
  <si>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</si>
  <si>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</si>
  <si>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</si>
  <si>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</si>
  <si>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</si>
  <si>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</si>
  <si>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</si>
  <si>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</si>
  <si>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</si>
  <si>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</si>
  <si>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</si>
  <si>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</si>
  <si>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</si>
  <si>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</si>
  <si>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</si>
  <si>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</si>
  <si>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</si>
  <si>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</si>
  <si>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</si>
  <si>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</si>
  <si>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</si>
  <si>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</si>
  <si>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</si>
  <si>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</si>
  <si>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</si>
  <si>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</si>
  <si>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</si>
  <si>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</si>
  <si>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</si>
  <si>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</si>
  <si>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</si>
  <si>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</si>
  <si>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</si>
  <si>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</si>
  <si>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</si>
  <si>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</si>
  <si>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</si>
  <si>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</si>
  <si>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</si>
  <si>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</si>
  <si>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</si>
  <si>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</si>
  <si>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</si>
  <si>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</si>
  <si>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</si>
  <si>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</si>
  <si>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</si>
  <si>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</si>
  <si>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</si>
  <si>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</si>
  <si>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</si>
  <si>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</si>
  <si>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</si>
  <si>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</si>
  <si>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</si>
  <si>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</si>
  <si>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</si>
  <si>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</si>
  <si>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</si>
  <si>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</si>
  <si>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</si>
  <si>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</si>
  <si>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</si>
  <si>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</si>
  <si>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</si>
  <si>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</si>
  <si>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</si>
  <si>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</si>
  <si>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</si>
  <si>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</si>
  <si>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</si>
  <si>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</si>
  <si>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</si>
  <si>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</si>
  <si>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</si>
  <si>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</si>
  <si>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</si>
  <si>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</si>
  <si>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</si>
  <si>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</si>
  <si>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</si>
  <si>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</si>
  <si>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</si>
  <si>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</si>
  <si>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</si>
  <si>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</si>
  <si>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</si>
  <si>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</si>
  <si>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</si>
  <si>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</si>
  <si>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</si>
  <si>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</si>
  <si>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</si>
  <si>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</si>
  <si>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</si>
  <si>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</si>
  <si>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</si>
  <si>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</si>
  <si>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</si>
  <si>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</si>
  <si>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</si>
  <si>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</si>
  <si>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</si>
  <si>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</si>
  <si>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</si>
  <si>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</si>
  <si>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</si>
  <si>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</si>
  <si>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</si>
  <si>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</si>
  <si>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</si>
  <si>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</si>
  <si>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</si>
  <si>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</si>
  <si>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</si>
  <si>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</si>
  <si>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</si>
  <si>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</si>
  <si>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</si>
  <si>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</si>
  <si>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</si>
  <si>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</si>
  <si>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</si>
  <si>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</si>
  <si>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</si>
  <si>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</si>
  <si>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</si>
  <si>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</si>
  <si>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</si>
  <si>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</si>
  <si>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</si>
  <si>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</si>
  <si>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</si>
  <si>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</si>
  <si>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</si>
  <si>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</si>
  <si>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</si>
  <si>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</si>
  <si>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</si>
  <si>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</si>
  <si>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</si>
  <si>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</si>
  <si>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</si>
  <si>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</si>
  <si>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</si>
  <si>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</si>
  <si>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</si>
  <si>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</si>
  <si>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</si>
  <si>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</si>
  <si>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</si>
  <si>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</si>
  <si>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</si>
  <si>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</si>
  <si>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</si>
  <si>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</si>
  <si>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</si>
  <si>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</si>
  <si>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</si>
  <si>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</si>
  <si>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</si>
  <si>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</si>
  <si>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</si>
  <si>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</si>
  <si>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</si>
  <si>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</si>
  <si>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</si>
  <si>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</si>
  <si>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</si>
  <si>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</si>
  <si>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</si>
  <si>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</si>
  <si>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</si>
  <si>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</si>
  <si>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</si>
  <si>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</si>
  <si>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</si>
  <si>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</si>
  <si>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</si>
  <si>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</si>
  <si>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</si>
  <si>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</si>
  <si>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</si>
  <si>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</si>
  <si>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</si>
  <si>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</si>
  <si>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</si>
  <si>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</si>
  <si>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</si>
  <si>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</si>
  <si>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</si>
  <si>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</si>
  <si>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</si>
  <si>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</si>
  <si>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</si>
  <si>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</si>
  <si>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</si>
  <si>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</si>
  <si>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</si>
  <si>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</si>
  <si>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</si>
  <si>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</si>
  <si>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</si>
  <si>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</si>
  <si>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</si>
  <si>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</si>
  <si>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</si>
  <si>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</si>
  <si>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</si>
  <si>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</si>
  <si>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</si>
  <si>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</si>
  <si>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</si>
  <si>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</si>
  <si>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</si>
  <si>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</si>
  <si>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</si>
  <si>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</si>
  <si>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</si>
  <si>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</si>
  <si>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</si>
  <si>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</si>
  <si>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</si>
  <si>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</si>
  <si>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</si>
  <si>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</si>
  <si>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</si>
  <si>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</si>
  <si>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</si>
  <si>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</si>
  <si>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</si>
  <si>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</si>
  <si>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</si>
  <si>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</si>
  <si>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</si>
  <si>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</si>
  <si>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</si>
  <si>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</si>
  <si>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</si>
  <si>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</si>
  <si>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</si>
  <si>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</si>
  <si>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</si>
  <si>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</si>
  <si>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</si>
  <si>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</si>
  <si>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</si>
  <si>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</si>
  <si>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</si>
  <si>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</si>
  <si>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</si>
  <si>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</si>
  <si>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</si>
  <si>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</si>
  <si>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</si>
  <si>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</si>
  <si>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</si>
  <si>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</si>
  <si>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</si>
  <si>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</si>
  <si>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</si>
  <si>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</si>
  <si>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</si>
  <si>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</si>
  <si>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</si>
  <si>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</si>
  <si>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</si>
  <si>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</si>
  <si>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</si>
  <si>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</si>
  <si>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</si>
  <si>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</si>
  <si>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</si>
  <si>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</si>
  <si>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</si>
  <si>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</si>
  <si>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</si>
  <si>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</si>
  <si>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</si>
  <si>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</si>
  <si>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</si>
  <si>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</si>
  <si>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</si>
  <si>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</si>
  <si>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</si>
  <si>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</si>
  <si>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</si>
  <si>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</si>
  <si>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</si>
  <si>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</si>
  <si>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</si>
  <si>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</si>
  <si>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</si>
  <si>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</si>
  <si>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</si>
  <si>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</si>
  <si>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</si>
  <si>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</si>
  <si>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</si>
  <si>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</si>
  <si>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</si>
  <si>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</si>
  <si>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</si>
  <si>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</si>
  <si>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</si>
  <si>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</si>
  <si>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</si>
  <si>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</si>
  <si>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</si>
  <si>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</si>
  <si>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</si>
  <si>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</si>
  <si>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</si>
  <si>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</si>
  <si>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</si>
  <si>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</si>
  <si>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</si>
  <si>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</si>
  <si>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</si>
  <si>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</si>
  <si>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</si>
  <si>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</si>
  <si>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</si>
  <si>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</si>
  <si>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</si>
  <si>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</si>
  <si>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</si>
  <si>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</si>
  <si>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</si>
  <si>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</si>
  <si>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</si>
  <si>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</si>
  <si>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</si>
  <si>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</si>
  <si>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</si>
  <si>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</si>
  <si>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</si>
  <si>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</si>
  <si>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</si>
  <si>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</si>
  <si>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</si>
  <si>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</si>
  <si>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</si>
  <si>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</si>
  <si>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</si>
  <si>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</si>
  <si>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</si>
  <si>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</si>
  <si>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</si>
  <si>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</si>
  <si>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</si>
  <si>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</si>
  <si>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</si>
  <si>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</si>
  <si>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</si>
  <si>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</si>
  <si>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</si>
  <si>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</si>
  <si>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</si>
  <si>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</si>
  <si>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</si>
  <si>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</si>
  <si>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</si>
  <si>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</si>
  <si>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</si>
  <si>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</si>
  <si>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</si>
  <si>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</si>
  <si>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</si>
  <si>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</si>
  <si>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</si>
  <si>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</si>
  <si>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</si>
  <si>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</si>
  <si>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</si>
  <si>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</si>
  <si>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</si>
  <si>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</si>
  <si>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</si>
  <si>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</si>
  <si>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</si>
  <si>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</si>
  <si>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</si>
  <si>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</si>
  <si>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</si>
  <si>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</si>
  <si>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</si>
  <si>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</si>
  <si>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</si>
  <si>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</si>
  <si>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</si>
  <si>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</si>
  <si>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</si>
  <si>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</si>
  <si>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</si>
  <si>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</si>
  <si>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</si>
  <si>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</si>
  <si>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</si>
  <si>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</si>
  <si>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</si>
  <si>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</si>
  <si>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</si>
  <si>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</si>
  <si>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</si>
  <si>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</si>
  <si>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</si>
  <si>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</si>
  <si>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</si>
  <si>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</si>
  <si>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</si>
  <si>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</si>
  <si>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</si>
  <si>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</si>
  <si>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</si>
  <si>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</si>
  <si>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</si>
  <si>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</si>
  <si>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</si>
  <si>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</si>
  <si>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</si>
  <si>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</si>
  <si>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</si>
  <si>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</si>
  <si>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</si>
  <si>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</si>
  <si>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</si>
  <si>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</si>
  <si>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</si>
  <si>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</si>
  <si>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</si>
  <si>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</si>
  <si>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</si>
  <si>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</si>
  <si>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</si>
  <si>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</si>
  <si>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</si>
  <si>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</si>
  <si>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</si>
  <si>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</si>
  <si>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</si>
  <si>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</si>
  <si>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</si>
  <si>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</si>
  <si>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</si>
  <si>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</si>
  <si>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</si>
  <si>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</si>
  <si>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</si>
  <si>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</si>
  <si>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</si>
  <si>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</si>
  <si>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</si>
  <si>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</si>
  <si>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</si>
  <si>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</si>
  <si>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</si>
  <si>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</si>
  <si>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</si>
  <si>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</si>
  <si>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</si>
  <si>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</si>
  <si>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</si>
  <si>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</si>
  <si>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</si>
  <si>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</si>
  <si>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</si>
  <si>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</si>
  <si>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</si>
  <si>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</si>
  <si>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</si>
  <si>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</si>
  <si>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</si>
  <si>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</si>
  <si>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</si>
  <si>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</si>
  <si>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</si>
  <si>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</si>
  <si>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</si>
  <si>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</si>
  <si>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</si>
  <si>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</si>
  <si>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</si>
  <si>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</si>
  <si>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</si>
  <si>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</si>
  <si>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</si>
  <si>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</si>
  <si>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</si>
  <si>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</si>
  <si>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</si>
  <si>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</si>
  <si>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</si>
  <si>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</si>
  <si>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</si>
  <si>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</si>
  <si>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</si>
  <si>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</si>
  <si>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</si>
  <si>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</si>
  <si>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</si>
  <si>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</si>
  <si>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</si>
  <si>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</si>
  <si>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</si>
  <si>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</si>
  <si>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</si>
  <si>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</si>
  <si>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</si>
  <si>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</si>
  <si>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</si>
  <si>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</si>
  <si>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</si>
  <si>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</si>
  <si>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</si>
  <si>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</si>
  <si>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</si>
  <si>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</si>
  <si>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</si>
  <si>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</si>
  <si>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</si>
  <si>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</si>
  <si>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</si>
  <si>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</si>
  <si>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</si>
  <si>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</si>
  <si>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</si>
  <si>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</si>
  <si>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</si>
  <si>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</si>
  <si>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</si>
  <si>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</si>
  <si>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</si>
  <si>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</si>
  <si>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</si>
  <si>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</si>
  <si>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</si>
  <si>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</si>
  <si>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</si>
  <si>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</si>
  <si>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</si>
  <si>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</si>
  <si>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</si>
  <si>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</si>
  <si>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</si>
  <si>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</si>
  <si>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</si>
  <si>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</si>
  <si>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</si>
  <si>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</si>
  <si>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</si>
  <si>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</si>
  <si>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</si>
  <si>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</si>
  <si>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</si>
  <si>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</si>
  <si>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</si>
  <si>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</si>
  <si>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</si>
  <si>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</si>
  <si>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</si>
  <si>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</si>
  <si>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</si>
  <si>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</si>
  <si>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</si>
  <si>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</si>
  <si>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</si>
  <si>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</si>
  <si>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</si>
  <si>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</si>
  <si>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</si>
  <si>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</si>
  <si>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</si>
  <si>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</si>
  <si>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</si>
  <si>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</si>
  <si>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</si>
  <si>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</si>
  <si>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</si>
  <si>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</si>
  <si>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</si>
  <si>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</si>
  <si>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</si>
  <si>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</si>
  <si>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</si>
  <si>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</si>
  <si>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</si>
  <si>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</si>
  <si>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</si>
  <si>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</si>
  <si>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</si>
  <si>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</si>
  <si>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</si>
  <si>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</si>
  <si>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</si>
  <si>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</si>
  <si>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</si>
  <si>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</si>
  <si>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</si>
  <si>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</si>
  <si>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</si>
  <si>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</si>
  <si>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</si>
  <si>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</si>
  <si>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</si>
  <si>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</si>
  <si>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</si>
  <si>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</si>
  <si>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</si>
  <si>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</si>
  <si>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</si>
  <si>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</si>
  <si>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</si>
  <si>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</si>
  <si>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</si>
  <si>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</si>
  <si>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</si>
  <si>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</si>
  <si>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</si>
  <si>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</si>
  <si>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</si>
  <si>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</si>
  <si>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</si>
  <si>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</si>
  <si>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</si>
  <si>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</si>
  <si>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</si>
  <si>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</si>
  <si>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</si>
  <si>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</si>
  <si>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</si>
  <si>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</si>
  <si>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</si>
  <si>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</si>
  <si>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</si>
  <si>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</si>
  <si>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</si>
  <si>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</si>
  <si>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</si>
  <si>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</si>
  <si>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</si>
  <si>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</si>
  <si>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</si>
  <si>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</si>
  <si>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</si>
  <si>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</si>
  <si>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</si>
  <si>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</si>
  <si>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</si>
  <si>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</si>
  <si>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</si>
  <si>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</si>
  <si>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</si>
  <si>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</si>
  <si>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</si>
  <si>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</si>
  <si>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</si>
  <si>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</si>
  <si>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</si>
  <si>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</si>
  <si>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</si>
  <si>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</si>
  <si>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</si>
  <si>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</si>
  <si>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</si>
  <si>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</si>
  <si>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</si>
  <si>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</si>
  <si>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</si>
  <si>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</si>
  <si>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</si>
  <si>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</si>
  <si>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</si>
  <si>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</si>
  <si>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</si>
  <si>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</si>
  <si>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</si>
  <si>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</si>
  <si>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</si>
  <si>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</si>
  <si>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</si>
  <si>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</si>
  <si>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</si>
  <si>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</si>
  <si>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</si>
  <si>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</si>
  <si>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</si>
  <si>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</si>
  <si>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</si>
  <si>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</si>
  <si>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</si>
  <si>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</si>
  <si>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</si>
  <si>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</si>
  <si>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</si>
  <si>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</si>
  <si>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</si>
  <si>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</si>
  <si>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</si>
  <si>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</si>
  <si>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</si>
  <si>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</si>
  <si>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</si>
  <si>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</si>
  <si>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</si>
  <si>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</si>
  <si>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</si>
  <si>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</si>
  <si>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</si>
  <si>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</si>
  <si>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</si>
  <si>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</si>
  <si>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</si>
  <si>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</si>
  <si>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</si>
  <si>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</si>
  <si>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</si>
  <si>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</si>
  <si>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</si>
  <si>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</si>
  <si>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</si>
  <si>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</si>
  <si>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</si>
  <si>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</si>
  <si>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</si>
  <si>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</si>
  <si>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</si>
  <si>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</si>
  <si>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</si>
  <si>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</si>
  <si>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</si>
  <si>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</si>
  <si>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</si>
  <si>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</si>
  <si>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</si>
  <si>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</si>
  <si>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</si>
  <si>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</si>
  <si>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</si>
  <si>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</si>
  <si>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</si>
  <si>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</si>
  <si>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</si>
  <si>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</si>
  <si>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</si>
  <si>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</si>
  <si>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</si>
  <si>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</si>
  <si>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</si>
  <si>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</si>
  <si>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</si>
  <si>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</si>
  <si>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</si>
  <si>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</si>
  <si>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</si>
  <si>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</si>
  <si>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</si>
  <si>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</si>
  <si>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</si>
  <si>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</si>
  <si>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</si>
  <si>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</si>
  <si>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</si>
  <si>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</si>
  <si>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</si>
  <si>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</si>
  <si>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</si>
  <si>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</si>
  <si>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</si>
  <si>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</si>
  <si>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</si>
  <si>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</si>
  <si>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</si>
  <si>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</si>
  <si>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</si>
  <si>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</si>
  <si>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</si>
  <si>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</si>
  <si>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</si>
  <si>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</si>
  <si>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</si>
  <si>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</si>
  <si>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</si>
  <si>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</si>
  <si>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</si>
  <si>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</si>
  <si>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</si>
  <si>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</si>
  <si>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</si>
  <si>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</si>
  <si>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</si>
  <si>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</si>
  <si>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</si>
  <si>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</si>
  <si>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</si>
  <si>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</si>
  <si>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</si>
  <si>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</si>
  <si>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</si>
  <si>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</si>
  <si>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</si>
  <si>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</si>
  <si>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</si>
  <si>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</si>
  <si>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</si>
  <si>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</si>
  <si>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</si>
  <si>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</si>
  <si>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</si>
  <si>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</si>
  <si>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</si>
  <si>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</si>
  <si>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</si>
  <si>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</si>
  <si>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</si>
  <si>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</si>
  <si>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</si>
  <si>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</si>
  <si>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</si>
  <si>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</si>
  <si>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</si>
  <si>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</si>
  <si>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</si>
  <si>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</si>
  <si>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</si>
  <si>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</si>
  <si>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</si>
  <si>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</si>
  <si>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</si>
  <si>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</si>
  <si>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</si>
  <si>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</si>
  <si>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</si>
  <si>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</si>
  <si>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</si>
  <si>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</si>
  <si>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</si>
  <si>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</si>
  <si>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</si>
  <si>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</si>
  <si>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</si>
  <si>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</si>
  <si>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</si>
  <si>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</si>
  <si>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</si>
  <si>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</si>
  <si>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</si>
  <si>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</si>
  <si>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</si>
  <si>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</si>
  <si>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</si>
  <si>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</si>
  <si>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</si>
  <si>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</si>
  <si>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</si>
  <si>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</si>
  <si>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</si>
  <si>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</si>
  <si>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</si>
  <si>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</si>
  <si>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</si>
  <si>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</si>
  <si>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</si>
  <si>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</si>
  <si>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</si>
  <si>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</si>
  <si>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</si>
  <si>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</si>
  <si>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</si>
  <si>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</si>
  <si>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</si>
  <si>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</si>
  <si>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</si>
  <si>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</si>
  <si>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</si>
  <si>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</si>
  <si>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</si>
  <si>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</si>
  <si>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</si>
  <si>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</si>
  <si>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</si>
  <si>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</si>
  <si>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</si>
  <si>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</si>
  <si>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</si>
  <si>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</si>
  <si>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</si>
  <si>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</si>
  <si>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</si>
  <si>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</si>
  <si>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</si>
  <si>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</si>
  <si>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</si>
  <si>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</si>
  <si>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</si>
  <si>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</si>
  <si>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</si>
  <si>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</si>
  <si>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</si>
  <si>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</si>
  <si>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</si>
  <si>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</si>
  <si>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</si>
  <si>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</si>
  <si>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</si>
  <si>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</si>
  <si>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</si>
  <si>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</si>
  <si>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</si>
  <si>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</si>
  <si>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</si>
  <si>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</si>
  <si>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</si>
  <si>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</si>
  <si>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</si>
  <si>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</si>
  <si>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</si>
  <si>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</si>
  <si>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</si>
  <si>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</si>
  <si>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</si>
  <si>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</si>
  <si>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</si>
  <si>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</si>
  <si>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</si>
  <si>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</si>
  <si>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</si>
  <si>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</si>
  <si>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</si>
  <si>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</si>
  <si>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</si>
  <si>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</si>
  <si>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</si>
  <si>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</si>
  <si>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</si>
  <si>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</si>
  <si>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</si>
  <si>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</si>
  <si>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</si>
  <si>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</si>
  <si>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</si>
  <si>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</si>
  <si>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</si>
  <si>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</si>
  <si>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</si>
  <si>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</si>
  <si>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</si>
  <si>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</si>
  <si>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</si>
  <si>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</si>
  <si>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</si>
  <si>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</si>
  <si>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</si>
  <si>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</si>
  <si>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</si>
  <si>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</si>
  <si>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</si>
  <si>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</si>
  <si>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</si>
  <si>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</si>
  <si>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</si>
  <si>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</si>
  <si>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</si>
  <si>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</si>
  <si>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</si>
  <si>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</si>
  <si>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</si>
  <si>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</si>
  <si>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</si>
  <si>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</si>
  <si>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</si>
  <si>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</si>
  <si>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</si>
  <si>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</si>
  <si>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</si>
  <si>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</si>
  <si>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</si>
  <si>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</si>
  <si>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</si>
  <si>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</si>
  <si>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</si>
  <si>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</si>
  <si>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</si>
  <si>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</si>
  <si>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</si>
  <si>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</si>
  <si>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</si>
  <si>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</si>
  <si>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</si>
  <si>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</si>
  <si>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</si>
  <si>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</si>
  <si>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</si>
  <si>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</si>
  <si>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</si>
  <si>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</si>
  <si>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</si>
  <si>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</si>
  <si>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</si>
  <si>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</si>
  <si>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</si>
  <si>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</si>
  <si>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</si>
  <si>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</si>
  <si>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</si>
  <si>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</si>
  <si>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</si>
  <si>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</si>
  <si>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</si>
  <si>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</si>
  <si>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</si>
  <si>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</si>
  <si>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</si>
  <si>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</si>
  <si>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</si>
  <si>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</si>
  <si>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</si>
  <si>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</si>
  <si>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</si>
  <si>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</si>
  <si>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</si>
  <si>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</si>
  <si>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</si>
  <si>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</si>
  <si>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</si>
  <si>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</si>
  <si>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</si>
  <si>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</si>
  <si>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</si>
  <si>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</si>
  <si>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</si>
  <si>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</si>
  <si>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</si>
  <si>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</si>
  <si>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</si>
  <si>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</si>
  <si>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</si>
  <si>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</si>
  <si>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</si>
  <si>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</si>
  <si>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</si>
  <si>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</si>
  <si>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</si>
  <si>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</si>
  <si>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</si>
  <si>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</si>
  <si>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</si>
  <si>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</si>
  <si>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</si>
  <si>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</si>
  <si>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</si>
  <si>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</si>
  <si>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</si>
  <si>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</si>
  <si>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</si>
  <si>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</si>
  <si>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</si>
  <si>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</si>
  <si>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</si>
  <si>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</si>
  <si>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</si>
  <si>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</si>
  <si>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</si>
  <si>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</si>
  <si>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</si>
  <si>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</si>
  <si>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</si>
  <si>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</si>
  <si>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</si>
  <si>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</si>
  <si>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</si>
  <si>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</si>
  <si>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</si>
  <si>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</si>
  <si>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</si>
  <si>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</si>
  <si>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</si>
  <si>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</si>
  <si>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</si>
  <si>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</si>
  <si>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</si>
  <si>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</si>
  <si>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</si>
  <si>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</si>
  <si>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</si>
  <si>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</si>
  <si>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</si>
  <si>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</si>
  <si>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</si>
  <si>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</si>
  <si>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</si>
  <si>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</si>
  <si>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</si>
  <si>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</si>
  <si>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</si>
  <si>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</si>
  <si>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</si>
  <si>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</si>
  <si>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</si>
  <si>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</si>
  <si>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</si>
  <si>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</si>
  <si>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</si>
  <si>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</si>
  <si>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</si>
  <si>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</si>
  <si>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</si>
  <si>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</si>
  <si>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</si>
  <si>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</si>
  <si>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</si>
  <si>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</si>
  <si>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</si>
  <si>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</si>
  <si>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</si>
  <si>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</si>
  <si>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</si>
  <si>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</si>
  <si>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</si>
  <si>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</si>
  <si>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</si>
  <si>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</si>
  <si>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</si>
  <si>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</si>
  <si>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</si>
  <si>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</si>
  <si>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</si>
  <si>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</si>
  <si>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</si>
  <si>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</si>
  <si>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</si>
  <si>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</si>
  <si>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</si>
  <si>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</si>
  <si>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</si>
  <si>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</si>
  <si>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</si>
  <si>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</si>
  <si>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</si>
  <si>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</si>
  <si>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</si>
  <si>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</si>
  <si>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</si>
  <si>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</si>
  <si>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</si>
  <si>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</si>
  <si>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</si>
  <si>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</si>
  <si>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</si>
  <si>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</si>
  <si>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</si>
  <si>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</si>
  <si>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</si>
  <si>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</si>
  <si>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</si>
  <si>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</si>
  <si>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</si>
  <si>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</si>
  <si>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</si>
  <si>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</si>
  <si>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</si>
  <si>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</si>
  <si>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</si>
  <si>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</si>
  <si>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</si>
  <si>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</si>
  <si>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</si>
  <si>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</si>
  <si>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</si>
  <si>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</si>
  <si>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</si>
  <si>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</si>
  <si>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</si>
  <si>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</si>
  <si>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</si>
  <si>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</si>
  <si>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</si>
  <si>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</si>
  <si>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</si>
  <si>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</si>
  <si>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</si>
  <si>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</si>
  <si>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</si>
  <si>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</si>
  <si>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</si>
  <si>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</si>
  <si>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</si>
  <si>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</si>
  <si>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</si>
  <si>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</si>
  <si>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</si>
  <si>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</si>
  <si>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</si>
  <si>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</si>
  <si>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</si>
  <si>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</si>
  <si>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</si>
  <si>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</si>
  <si>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</si>
  <si>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</si>
  <si>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</si>
  <si>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</si>
  <si>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</si>
  <si>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</si>
  <si>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</si>
  <si>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</si>
  <si>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</si>
  <si>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</si>
  <si>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</si>
  <si>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</si>
  <si>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</si>
  <si>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</si>
  <si>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</si>
  <si>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</si>
  <si>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</si>
  <si>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</si>
  <si>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</si>
  <si>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</si>
  <si>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</si>
  <si>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</si>
  <si>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</si>
  <si>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</si>
  <si>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</si>
  <si>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</si>
  <si>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</si>
  <si>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</si>
  <si>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</si>
  <si>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</si>
  <si>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</si>
  <si>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</si>
  <si>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</si>
  <si>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</si>
  <si>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</si>
  <si>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</si>
  <si>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</si>
  <si>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</si>
  <si>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</si>
  <si>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</si>
  <si>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</si>
  <si>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</si>
  <si>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</si>
  <si>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</si>
  <si>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</si>
  <si>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</si>
  <si>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</si>
  <si>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</si>
  <si>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</si>
  <si>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</si>
  <si>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</si>
  <si>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</si>
  <si>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</si>
  <si>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</si>
  <si>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</si>
  <si>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</si>
  <si>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</si>
  <si>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</si>
  <si>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</si>
  <si>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</si>
  <si>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</si>
  <si>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</si>
  <si>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</si>
  <si>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</si>
  <si>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</si>
  <si>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</si>
  <si>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</si>
  <si>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</si>
  <si>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</si>
  <si>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</si>
  <si>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</si>
  <si>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</si>
  <si>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</si>
  <si>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</si>
  <si>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</si>
  <si>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</si>
  <si>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</si>
  <si>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</si>
  <si>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</si>
  <si>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</si>
  <si>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</si>
  <si>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</si>
  <si>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</si>
  <si>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</si>
  <si>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</si>
  <si>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</si>
  <si>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</si>
  <si>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</si>
  <si>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</si>
  <si>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</si>
  <si>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</si>
  <si>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</si>
  <si>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</si>
  <si>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</si>
  <si>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</si>
  <si>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</si>
  <si>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</si>
  <si>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</si>
  <si>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</si>
  <si>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</si>
  <si>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</si>
  <si>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</si>
  <si>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</si>
  <si>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</si>
  <si>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</si>
  <si>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</si>
  <si>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</si>
  <si>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</si>
  <si>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</si>
  <si>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</si>
  <si>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</si>
  <si>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</si>
  <si>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</si>
  <si>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</si>
  <si>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</si>
  <si>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</si>
  <si>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</si>
  <si>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</si>
  <si>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</si>
  <si>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</si>
  <si>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</si>
  <si>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</si>
  <si>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</si>
  <si>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</si>
  <si>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</si>
  <si>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</si>
  <si>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</si>
  <si>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</si>
  <si>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</si>
  <si>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</si>
  <si>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</si>
  <si>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</si>
  <si>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</si>
  <si>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</si>
  <si>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</si>
  <si>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</si>
  <si>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</si>
  <si>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</si>
  <si>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</si>
  <si>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</si>
  <si>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</si>
  <si>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</si>
  <si>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</si>
  <si>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</si>
  <si>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</si>
  <si>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</si>
  <si>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</si>
  <si>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</si>
  <si>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</si>
  <si>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</si>
  <si>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</si>
  <si>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</si>
  <si>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</si>
  <si>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</si>
  <si>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</si>
  <si>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</si>
  <si>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</si>
  <si>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</si>
  <si>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</si>
  <si>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</si>
  <si>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</si>
  <si>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</si>
  <si>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</si>
  <si>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</si>
  <si>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</si>
  <si>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</si>
  <si>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</si>
  <si>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</si>
  <si>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</si>
  <si>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</si>
  <si>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</si>
  <si>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</si>
  <si>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</si>
  <si>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</si>
  <si>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</si>
  <si>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</si>
  <si>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</si>
  <si>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</si>
  <si>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</si>
  <si>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</si>
  <si>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</si>
  <si>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</si>
  <si>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</si>
  <si>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</si>
  <si>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</si>
  <si>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</si>
  <si>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</si>
  <si>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</si>
  <si>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</si>
  <si>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</si>
  <si>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</si>
  <si>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</si>
  <si>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</si>
  <si>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</si>
  <si>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</si>
  <si>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</si>
  <si>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</si>
  <si>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</si>
  <si>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</si>
  <si>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</si>
  <si>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</si>
  <si>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</si>
  <si>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</si>
  <si>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</si>
  <si>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</si>
  <si>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</si>
  <si>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</si>
  <si>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</si>
  <si>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</si>
  <si>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</si>
  <si>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</si>
  <si>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</si>
  <si>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</si>
  <si>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</si>
  <si>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</si>
  <si>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</si>
  <si>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</si>
  <si>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</si>
  <si>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</si>
  <si>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</si>
  <si>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</si>
  <si>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</si>
  <si>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</si>
  <si>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</si>
  <si>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</si>
  <si>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</si>
  <si>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</si>
  <si>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</si>
  <si>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</si>
  <si>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</si>
  <si>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</si>
  <si>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</si>
  <si>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</si>
  <si>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</si>
  <si>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</si>
  <si>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</si>
  <si>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</si>
  <si>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</si>
  <si>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</si>
  <si>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</si>
  <si>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</si>
  <si>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</si>
  <si>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</si>
  <si>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</si>
  <si>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</si>
  <si>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</si>
  <si>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</si>
  <si>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</si>
  <si>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</si>
  <si>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</si>
  <si>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</si>
  <si>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</si>
  <si>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</si>
  <si>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</si>
  <si>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</si>
  <si>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</si>
  <si>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</si>
  <si>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</si>
  <si>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</si>
  <si>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</si>
  <si>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</si>
  <si>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</si>
  <si>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</si>
  <si>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</si>
  <si>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</si>
  <si>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</si>
  <si>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</si>
  <si>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</si>
  <si>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</si>
  <si>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</si>
  <si>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</si>
  <si>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</si>
  <si>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</si>
  <si>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</si>
  <si>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</si>
  <si>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</si>
  <si>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</si>
  <si>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</si>
  <si>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</si>
  <si>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</si>
  <si>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</si>
  <si>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</si>
  <si>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</si>
  <si>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</si>
  <si>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</si>
  <si>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</si>
  <si>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</si>
  <si>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</si>
  <si>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</si>
  <si>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</si>
  <si>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</si>
  <si>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</si>
  <si>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</si>
  <si>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</si>
  <si>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</si>
  <si>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</si>
  <si>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</si>
  <si>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</si>
  <si>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</si>
  <si>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</si>
  <si>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</si>
  <si>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</si>
  <si>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</si>
  <si>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</si>
  <si>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</si>
  <si>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</si>
  <si>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</si>
  <si>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</si>
  <si>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</si>
  <si>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</si>
  <si>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</si>
  <si>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</si>
  <si>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</si>
  <si>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</si>
  <si>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</si>
  <si>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</si>
  <si>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</si>
  <si>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</si>
  <si>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</si>
  <si>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</si>
  <si>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</si>
  <si>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</si>
  <si>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</si>
  <si>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</si>
  <si>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</si>
  <si>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</si>
  <si>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</si>
  <si>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</si>
  <si>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</si>
  <si>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</si>
  <si>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</si>
  <si>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</si>
  <si>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</si>
  <si>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</si>
  <si>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</si>
  <si>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</si>
  <si>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</si>
  <si>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</si>
  <si>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</si>
  <si>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</si>
  <si>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</si>
  <si>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</si>
  <si>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</si>
  <si>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</si>
  <si>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</si>
  <si>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</si>
  <si>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</si>
  <si>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</si>
  <si>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</si>
  <si>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</si>
  <si>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</si>
  <si>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</si>
  <si>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</si>
  <si>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</si>
  <si>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</si>
  <si>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</si>
  <si>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</si>
  <si>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</si>
  <si>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</si>
  <si>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</si>
  <si>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</si>
  <si>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</si>
  <si>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</si>
  <si>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</si>
  <si>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</si>
  <si>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</si>
  <si>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</si>
  <si>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</si>
  <si>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</si>
  <si>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</si>
  <si>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</si>
  <si>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</si>
  <si>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</si>
  <si>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</si>
  <si>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</si>
  <si>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</si>
  <si>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</si>
  <si>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</si>
  <si>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</si>
  <si>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</si>
  <si>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</si>
  <si>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</si>
  <si>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</si>
  <si>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</si>
  <si>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</si>
  <si>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</si>
  <si>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</si>
  <si>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</si>
  <si>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</si>
  <si>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</si>
  <si>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</si>
  <si>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</si>
  <si>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</si>
  <si>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</si>
  <si>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</si>
  <si>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</si>
  <si>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</si>
  <si>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</si>
  <si>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</si>
  <si>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</si>
  <si>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</si>
  <si>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</si>
  <si>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</si>
  <si>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</si>
  <si>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</si>
  <si>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</si>
  <si>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</si>
  <si>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</si>
  <si>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</si>
  <si>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</si>
  <si>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</si>
  <si>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</si>
  <si>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</si>
  <si>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</si>
  <si>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</si>
  <si>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</si>
  <si>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</si>
  <si>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</si>
  <si>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</si>
  <si>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</si>
  <si>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</si>
  <si>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</si>
  <si>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</si>
  <si>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</si>
  <si>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</si>
  <si>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</si>
  <si>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</si>
  <si>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</si>
  <si>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</si>
  <si>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</si>
  <si>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</si>
  <si>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</si>
  <si>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</si>
  <si>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</si>
  <si>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</si>
  <si>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</si>
  <si>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</si>
  <si>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</si>
  <si>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</si>
  <si>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</si>
  <si>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</si>
  <si>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</si>
  <si>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</si>
  <si>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</si>
  <si>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</si>
  <si>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</si>
  <si>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</si>
  <si>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</si>
  <si>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</si>
  <si>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</si>
  <si>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</si>
  <si>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</si>
  <si>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</si>
  <si>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</si>
  <si>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</si>
  <si>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</si>
  <si>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</si>
  <si>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</si>
  <si>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</si>
  <si>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</si>
  <si>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</si>
  <si>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</si>
  <si>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</si>
  <si>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</si>
  <si>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</si>
  <si>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</si>
  <si>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</si>
  <si>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</si>
  <si>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</si>
  <si>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</si>
  <si>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</si>
  <si>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</si>
  <si>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</si>
  <si>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</si>
  <si>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</si>
  <si>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</si>
  <si>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</si>
  <si>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</si>
  <si>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</si>
  <si>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</si>
  <si>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</si>
  <si>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</si>
  <si>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</si>
  <si>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</si>
  <si>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</si>
  <si>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</si>
  <si>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</si>
  <si>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</si>
  <si>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</si>
  <si>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</si>
  <si>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</si>
  <si>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</si>
  <si>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</si>
  <si>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</si>
  <si>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</si>
  <si>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</si>
  <si>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</si>
  <si>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</si>
  <si>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</si>
  <si>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</si>
  <si>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</si>
  <si>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</si>
  <si>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</si>
  <si>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</si>
  <si>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</si>
  <si>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</si>
  <si>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</si>
  <si>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</si>
  <si>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</si>
  <si>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</si>
  <si>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</si>
  <si>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</si>
  <si>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</si>
  <si>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</si>
  <si>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</si>
  <si>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</si>
  <si>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</si>
  <si>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</si>
  <si>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</si>
  <si>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</si>
  <si>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</si>
  <si>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</si>
  <si>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</si>
  <si>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</si>
  <si>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</si>
  <si>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</si>
  <si>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</si>
  <si>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</si>
  <si>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</si>
  <si>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</si>
  <si>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</si>
  <si>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</si>
  <si>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</si>
  <si>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</si>
  <si>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</si>
  <si>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</si>
  <si>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</si>
  <si>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</si>
  <si>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</si>
  <si>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</si>
  <si>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</si>
  <si>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</si>
  <si>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</si>
  <si>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</si>
  <si>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</si>
  <si>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</si>
  <si>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</si>
  <si>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</si>
  <si>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</si>
  <si>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</si>
  <si>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</si>
  <si>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</si>
  <si>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</si>
  <si>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</si>
  <si>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</si>
  <si>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</si>
  <si>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</si>
  <si>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</si>
  <si>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</si>
  <si>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</si>
  <si>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</si>
  <si>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</si>
  <si>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</si>
  <si>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</si>
  <si>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</si>
  <si>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</si>
  <si>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</si>
  <si>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</si>
  <si>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</si>
  <si>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</si>
  <si>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</si>
  <si>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</si>
  <si>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</si>
  <si>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</si>
  <si>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</si>
  <si>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</si>
  <si>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</si>
  <si>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</si>
  <si>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</si>
  <si>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</si>
  <si>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</si>
  <si>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</si>
  <si>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</si>
  <si>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</si>
  <si>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</si>
  <si>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</si>
  <si>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</si>
  <si>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</si>
  <si>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</si>
  <si>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</si>
  <si>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</si>
  <si>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</si>
  <si>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</si>
  <si>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</si>
  <si>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</si>
  <si>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</si>
  <si>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</si>
  <si>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</si>
  <si>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</si>
  <si>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</si>
  <si>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</si>
  <si>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</si>
  <si>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</si>
  <si>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</si>
  <si>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</si>
  <si>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</si>
  <si>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</si>
  <si>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</si>
  <si>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</si>
  <si>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</si>
  <si>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</si>
  <si>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</si>
  <si>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</si>
  <si>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</si>
  <si>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</si>
  <si>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</si>
  <si>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</si>
  <si>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</si>
  <si>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</si>
  <si>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</si>
  <si>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</si>
  <si>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</si>
  <si>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</si>
  <si>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</si>
  <si>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</si>
  <si>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</si>
  <si>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</si>
  <si>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</si>
  <si>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</si>
  <si>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</si>
  <si>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</si>
  <si>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</si>
  <si>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</si>
  <si>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</si>
  <si>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</si>
  <si>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</si>
  <si>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</si>
  <si>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</si>
  <si>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</si>
  <si>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</si>
  <si>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</si>
  <si>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</si>
  <si>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</si>
  <si>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</si>
  <si>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</si>
  <si>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</si>
  <si>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</si>
  <si>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</si>
  <si>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</si>
  <si>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</si>
  <si>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</si>
  <si>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</si>
  <si>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</si>
  <si>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</si>
  <si>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</si>
  <si>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</si>
  <si>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</si>
  <si>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</si>
  <si>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</si>
  <si>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</si>
  <si>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</si>
  <si>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</si>
  <si>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</si>
  <si>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</si>
  <si>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</si>
  <si>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</si>
  <si>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</si>
  <si>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</si>
  <si>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</si>
  <si>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</si>
  <si>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</si>
  <si>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</si>
  <si>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</si>
  <si>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</si>
  <si>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</si>
  <si>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</si>
  <si>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</si>
  <si>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</si>
  <si>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</si>
  <si>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</si>
  <si>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</si>
  <si>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</si>
  <si>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</si>
  <si>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</si>
  <si>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</si>
  <si>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</si>
  <si>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</si>
  <si>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</si>
  <si>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</si>
  <si>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</si>
  <si>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</si>
  <si>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</si>
  <si>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</si>
  <si>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</si>
  <si>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</si>
  <si>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</si>
  <si>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</si>
  <si>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</si>
  <si>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</si>
  <si>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</si>
  <si>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</si>
  <si>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</si>
  <si>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</si>
  <si>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</si>
  <si>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</si>
  <si>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</si>
  <si>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</si>
  <si>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</si>
  <si>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</si>
  <si>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</si>
  <si>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</si>
  <si>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</si>
  <si>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</si>
  <si>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</si>
  <si>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</si>
  <si>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</si>
  <si>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</si>
  <si>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</si>
  <si>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</si>
  <si>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</si>
  <si>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</si>
  <si>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</si>
  <si>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</si>
  <si>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</si>
  <si>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</si>
  <si>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</si>
  <si>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</si>
  <si>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</si>
  <si>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</si>
  <si>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</si>
  <si>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</si>
  <si>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</si>
  <si>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</si>
  <si>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</si>
  <si>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</si>
  <si>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</si>
  <si>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</si>
  <si>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</si>
  <si>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</si>
  <si>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</si>
  <si>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</si>
  <si>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</si>
  <si>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</si>
  <si>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</si>
  <si>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</si>
  <si>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</si>
  <si>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</si>
  <si>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</si>
  <si>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</si>
  <si>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</si>
  <si>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</si>
  <si>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</si>
  <si>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</si>
  <si>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</si>
  <si>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</si>
  <si>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</si>
  <si>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</si>
  <si>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</si>
  <si>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</si>
  <si>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</si>
  <si>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</si>
  <si>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</si>
  <si>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</si>
  <si>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</si>
  <si>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</si>
  <si>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</si>
  <si>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</si>
  <si>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</si>
  <si>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</si>
  <si>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</si>
  <si>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</si>
  <si>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</si>
  <si>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</si>
  <si>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</si>
  <si>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</si>
  <si>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</si>
  <si>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</si>
  <si>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</si>
  <si>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</si>
  <si>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</si>
  <si>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</si>
  <si>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</si>
  <si>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</si>
  <si>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</si>
  <si>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</si>
  <si>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</si>
  <si>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</si>
  <si>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</si>
  <si>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</si>
  <si>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</si>
  <si>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</si>
  <si>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</si>
  <si>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</si>
  <si>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</si>
  <si>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</si>
  <si>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</si>
  <si>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</si>
  <si>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</si>
  <si>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</si>
  <si>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</si>
  <si>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</si>
  <si>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</si>
  <si>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</si>
  <si>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</si>
  <si>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</si>
  <si>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</si>
  <si>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</si>
  <si>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</si>
  <si>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</si>
  <si>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</si>
  <si>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</si>
  <si>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</si>
  <si>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</si>
  <si>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</si>
  <si>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</si>
  <si>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</si>
  <si>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</si>
  <si>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</si>
  <si>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</si>
  <si>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</si>
  <si>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</si>
  <si>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</si>
  <si>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</si>
  <si>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</si>
  <si>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</si>
  <si>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</si>
  <si>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</si>
  <si>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</si>
  <si>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</si>
  <si>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</si>
  <si>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</si>
  <si>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</si>
  <si>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</si>
  <si>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</si>
  <si>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</si>
  <si>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</si>
  <si>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</si>
  <si>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</si>
  <si>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</si>
  <si>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</si>
  <si>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</si>
  <si>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</si>
  <si>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</si>
  <si>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</si>
  <si>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</si>
  <si>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</si>
  <si>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</si>
  <si>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</si>
  <si>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</si>
  <si>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</si>
  <si>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</si>
  <si>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</si>
  <si>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</si>
  <si>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</si>
  <si>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</si>
  <si>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</si>
  <si>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</si>
  <si>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</si>
  <si>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</si>
  <si>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</si>
  <si>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</si>
  <si>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</si>
  <si>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</si>
  <si>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</si>
  <si>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</si>
  <si>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</si>
  <si>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</si>
  <si>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</si>
  <si>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</si>
  <si>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</si>
  <si>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</si>
  <si>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</si>
  <si>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</si>
  <si>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</si>
  <si>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</si>
  <si>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</si>
  <si>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</si>
  <si>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</si>
  <si>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</si>
  <si>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</si>
  <si>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</si>
  <si>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</si>
  <si>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</si>
  <si>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</si>
  <si>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</si>
  <si>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</si>
  <si>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</si>
  <si>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</si>
  <si>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</si>
  <si>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</si>
  <si>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</si>
  <si>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</si>
  <si>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</si>
  <si>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</si>
  <si>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</si>
  <si>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</si>
  <si>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</si>
  <si>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</si>
  <si>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</si>
  <si>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</si>
  <si>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</si>
  <si>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</si>
  <si>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</si>
  <si>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</si>
  <si>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</si>
  <si>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</si>
  <si>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</si>
  <si>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</si>
  <si>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</si>
  <si>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</si>
  <si>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</si>
  <si>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</si>
  <si>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</si>
  <si>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</si>
  <si>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</si>
  <si>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</si>
  <si>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</si>
  <si>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</si>
  <si>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</si>
  <si>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</si>
  <si>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</si>
  <si>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</si>
  <si>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</si>
  <si>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</si>
  <si>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</si>
  <si>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</si>
  <si>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</si>
  <si>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</si>
  <si>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</si>
  <si>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</si>
  <si>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</si>
  <si>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</si>
  <si>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</si>
  <si>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</si>
  <si>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</si>
  <si>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</si>
  <si>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</si>
  <si>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</si>
  <si>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</si>
  <si>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</si>
  <si>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</si>
  <si>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</si>
  <si>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</si>
  <si>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</si>
  <si>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</si>
  <si>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</si>
  <si>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</si>
  <si>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</si>
  <si>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</si>
  <si>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</si>
  <si>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</si>
  <si>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</si>
  <si>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</si>
  <si>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</si>
  <si>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</si>
  <si>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</si>
  <si>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</si>
  <si>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</si>
  <si>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</si>
  <si>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</si>
  <si>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</si>
  <si>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</si>
  <si>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</si>
  <si>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</si>
  <si>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</si>
  <si>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</si>
  <si>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</si>
  <si>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</si>
  <si>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</si>
  <si>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</si>
  <si>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</si>
  <si>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</si>
  <si>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</si>
  <si>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</si>
  <si>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</si>
  <si>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</si>
  <si>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</si>
  <si>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</si>
  <si>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</si>
  <si>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</si>
  <si>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</si>
  <si>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</si>
  <si>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</si>
  <si>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</si>
  <si>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</si>
  <si>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</si>
  <si>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</si>
  <si>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</si>
  <si>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</si>
  <si>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</si>
  <si>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</si>
  <si>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</si>
  <si>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</si>
  <si>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</si>
  <si>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</si>
  <si>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</si>
  <si>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</si>
  <si>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</si>
  <si>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</si>
  <si>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</si>
  <si>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</si>
  <si>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</si>
  <si>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</si>
  <si>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</si>
  <si>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</si>
  <si>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</si>
  <si>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</si>
  <si>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</si>
  <si>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</si>
  <si>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</si>
  <si>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</si>
  <si>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</si>
  <si>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</si>
  <si>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</si>
  <si>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</si>
  <si>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</si>
  <si>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</si>
  <si>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</si>
  <si>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</si>
  <si>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</si>
  <si>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</si>
  <si>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</si>
  <si>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</si>
  <si>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</si>
  <si>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</si>
  <si>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</si>
  <si>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</si>
  <si>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</si>
  <si>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</si>
  <si>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</si>
  <si>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</si>
  <si>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</si>
  <si>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</si>
  <si>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</si>
  <si>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</si>
  <si>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</si>
  <si>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</si>
  <si>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</si>
  <si>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</si>
  <si>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</si>
  <si>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</si>
  <si>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</si>
  <si>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</si>
  <si>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</si>
  <si>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</si>
  <si>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</si>
  <si>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</si>
  <si>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</si>
  <si>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</si>
  <si>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</si>
  <si>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</si>
  <si>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</si>
  <si>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</si>
  <si>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</si>
  <si>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</si>
  <si>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</si>
  <si>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</si>
  <si>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</si>
  <si>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</si>
  <si>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</si>
  <si>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</si>
  <si>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</si>
  <si>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</si>
  <si>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</si>
  <si>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</si>
  <si>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</si>
  <si>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</si>
  <si>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</si>
  <si>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</si>
  <si>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</si>
  <si>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</si>
  <si>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</si>
  <si>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</si>
  <si>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</si>
  <si>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</si>
  <si>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</si>
  <si>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</si>
  <si>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</si>
  <si>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</si>
  <si>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</si>
  <si>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</si>
  <si>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</si>
  <si>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</si>
  <si>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</si>
  <si>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</si>
  <si>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</si>
  <si>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</si>
  <si>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</si>
  <si>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</si>
  <si>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</si>
  <si>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</si>
  <si>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</si>
  <si>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</si>
  <si>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</si>
  <si>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</si>
  <si>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</si>
  <si>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</si>
  <si>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</si>
  <si>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</si>
  <si>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</si>
  <si>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</si>
  <si>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</si>
  <si>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</si>
  <si>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</si>
  <si>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</si>
  <si>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</si>
  <si>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</si>
  <si>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</si>
  <si>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</si>
  <si>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</si>
  <si>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</si>
  <si>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</si>
  <si>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</si>
  <si>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</si>
  <si>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</si>
  <si>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</si>
  <si>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</si>
  <si>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</si>
  <si>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</si>
  <si>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</si>
  <si>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</si>
  <si>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</si>
  <si>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</si>
  <si>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</si>
  <si>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</si>
  <si>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</si>
  <si>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</si>
  <si>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</si>
  <si>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</si>
  <si>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</si>
  <si>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</si>
  <si>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</si>
  <si>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</si>
  <si>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</si>
  <si>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</si>
  <si>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</si>
  <si>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</si>
  <si>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</si>
  <si>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</si>
  <si>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</si>
  <si>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</si>
  <si>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</si>
  <si>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</si>
  <si>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</si>
  <si>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</si>
  <si>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</si>
  <si>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</si>
  <si>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</si>
  <si>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</si>
  <si>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</si>
  <si>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</si>
  <si>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</si>
  <si>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</si>
  <si>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</si>
  <si>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</si>
  <si>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</si>
  <si>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</si>
  <si>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</si>
  <si>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</si>
  <si>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</si>
  <si>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</si>
  <si>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</si>
  <si>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</si>
  <si>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</si>
  <si>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</si>
  <si>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</si>
  <si>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</si>
  <si>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</si>
  <si>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</si>
  <si>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</si>
  <si>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</si>
  <si>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</si>
  <si>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</si>
  <si>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</si>
  <si>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</si>
  <si>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</si>
  <si>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</si>
  <si>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</si>
  <si>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</si>
  <si>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</si>
  <si>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</si>
  <si>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</si>
  <si>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</si>
  <si>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</si>
  <si>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</si>
  <si>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</si>
  <si>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</si>
  <si>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</si>
  <si>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</si>
  <si>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</si>
  <si>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</si>
  <si>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</si>
  <si>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</si>
  <si>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</si>
  <si>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</si>
  <si>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</si>
  <si>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</si>
  <si>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</si>
  <si>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</si>
  <si>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</si>
  <si>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</si>
  <si>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</si>
  <si>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</si>
  <si>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</si>
  <si>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</si>
  <si>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</si>
  <si>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</si>
  <si>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</si>
  <si>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</si>
  <si>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</si>
  <si>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</si>
  <si>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</si>
  <si>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</si>
  <si>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</si>
  <si>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</si>
  <si>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</si>
  <si>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</si>
  <si>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</si>
  <si>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</si>
  <si>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</si>
  <si>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</si>
  <si>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</si>
  <si>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</si>
  <si>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</si>
  <si>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</si>
  <si>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</si>
  <si>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</si>
  <si>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</si>
  <si>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</si>
  <si>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</si>
  <si>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</si>
  <si>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</si>
  <si>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</si>
  <si>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</si>
  <si>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</si>
  <si>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</si>
  <si>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</si>
  <si>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</si>
  <si>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</si>
  <si>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</si>
  <si>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</si>
  <si>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</si>
  <si>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</si>
  <si>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</si>
  <si>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</si>
  <si>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</si>
  <si>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</si>
  <si>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</si>
  <si>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</si>
  <si>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</si>
  <si>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</si>
  <si>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</si>
  <si>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</si>
  <si>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</si>
  <si>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</si>
  <si>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</si>
  <si>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</si>
  <si>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</si>
  <si>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</si>
  <si>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</si>
  <si>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</si>
  <si>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</si>
  <si>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</si>
  <si>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</si>
  <si>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</si>
  <si>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</si>
  <si>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</si>
  <si>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</si>
  <si>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</si>
  <si>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</si>
  <si>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</si>
  <si>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</si>
  <si>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</si>
  <si>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</si>
  <si>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</si>
  <si>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</si>
  <si>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</si>
  <si>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</si>
  <si>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</si>
  <si>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</si>
  <si>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</si>
  <si>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</si>
  <si>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</si>
  <si>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</si>
  <si>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</si>
  <si>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</si>
  <si>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</si>
  <si>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</si>
  <si>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</si>
  <si>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</si>
  <si>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</si>
  <si>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</si>
  <si>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</si>
  <si>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</si>
  <si>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</si>
  <si>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</si>
  <si>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</si>
  <si>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</si>
  <si>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</si>
  <si>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</si>
  <si>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</si>
  <si>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</si>
  <si>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</si>
  <si>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</si>
  <si>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</si>
  <si>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</si>
  <si>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</si>
  <si>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</si>
  <si>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</si>
  <si>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</si>
  <si>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</si>
  <si>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</si>
  <si>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</si>
  <si>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</si>
  <si>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</si>
  <si>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</si>
  <si>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</si>
  <si>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</si>
  <si>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</si>
  <si>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</si>
  <si>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</si>
  <si>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</si>
  <si>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</si>
  <si>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</si>
  <si>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</si>
  <si>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</si>
  <si>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</si>
  <si>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</si>
  <si>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</si>
  <si>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</si>
  <si>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</si>
  <si>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</si>
  <si>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</si>
  <si>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</si>
  <si>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</si>
  <si>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</si>
  <si>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</si>
  <si>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</si>
  <si>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</si>
  <si>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</si>
  <si>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</si>
  <si>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</si>
  <si>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</si>
  <si>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</si>
  <si>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</si>
  <si>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</si>
  <si>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</si>
  <si>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</si>
  <si>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</si>
  <si>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</si>
  <si>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</si>
  <si>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</si>
  <si>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</si>
  <si>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</si>
  <si>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</si>
  <si>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</si>
  <si>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</si>
  <si>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</si>
  <si>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</si>
  <si>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</si>
  <si>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</si>
  <si>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</si>
  <si>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</si>
  <si>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</si>
  <si>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</si>
  <si>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</si>
  <si>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</si>
  <si>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</si>
  <si>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</si>
  <si>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</si>
  <si>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</si>
  <si>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</si>
  <si>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</si>
  <si>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</si>
  <si>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</si>
  <si>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</si>
  <si>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</si>
  <si>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</si>
  <si>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</si>
  <si>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</si>
  <si>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</si>
  <si>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</si>
  <si>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</si>
  <si>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</si>
  <si>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</si>
  <si>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</si>
  <si>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</si>
  <si>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</si>
  <si>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</si>
  <si>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</si>
  <si>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</si>
  <si>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</si>
  <si>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</si>
  <si>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</si>
  <si>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</si>
  <si>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</si>
  <si>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</si>
  <si>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</si>
  <si>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</si>
  <si>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</si>
  <si>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</si>
  <si>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</si>
  <si>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</si>
  <si>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</si>
  <si>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</si>
  <si>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</si>
  <si>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</si>
  <si>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</si>
  <si>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</si>
  <si>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</si>
  <si>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</si>
  <si>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</si>
  <si>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</si>
  <si>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</si>
  <si>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</si>
  <si>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</si>
  <si>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</si>
  <si>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</si>
  <si>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</si>
  <si>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</si>
  <si>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</si>
  <si>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</si>
  <si>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</si>
  <si>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</si>
  <si>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</si>
  <si>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</si>
  <si>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</si>
  <si>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</si>
  <si>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</si>
  <si>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</si>
  <si>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</si>
  <si>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</si>
  <si>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</si>
  <si>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</si>
  <si>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</si>
  <si>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</si>
  <si>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</si>
  <si>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</si>
  <si>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</si>
  <si>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</si>
  <si>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</si>
  <si>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</si>
  <si>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</si>
  <si>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</si>
  <si>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</si>
  <si>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</si>
  <si>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</si>
  <si>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</si>
  <si>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</si>
  <si>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</si>
  <si>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</si>
  <si>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</si>
  <si>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</si>
  <si>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</si>
  <si>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</si>
  <si>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</si>
  <si>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</si>
  <si>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</si>
  <si>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</si>
  <si>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</si>
  <si>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</si>
  <si>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</si>
  <si>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</si>
  <si>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</si>
  <si>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</si>
  <si>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</si>
  <si>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</si>
  <si>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</si>
  <si>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</si>
  <si>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</si>
  <si>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</si>
  <si>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</si>
  <si>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</si>
  <si>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</si>
  <si>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</si>
  <si>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</si>
  <si>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</si>
  <si>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</si>
  <si>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</si>
  <si>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</si>
  <si>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</si>
  <si>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</si>
  <si>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</si>
  <si>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</si>
  <si>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</si>
  <si>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</si>
  <si>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</si>
  <si>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</si>
  <si>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</si>
  <si>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</si>
  <si>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</si>
  <si>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</si>
  <si>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</si>
  <si>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</si>
  <si>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</si>
  <si>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</si>
  <si>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</si>
  <si>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</si>
  <si>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</si>
  <si>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</si>
  <si>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</si>
  <si>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</si>
  <si>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</si>
  <si>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</si>
  <si>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</si>
  <si>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</si>
  <si>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</si>
  <si>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</si>
  <si>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</si>
  <si>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</si>
  <si>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</si>
  <si>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</si>
  <si>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</si>
  <si>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</si>
  <si>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</si>
  <si>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</si>
  <si>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</si>
  <si>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</si>
  <si>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</si>
  <si>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</si>
  <si>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</si>
  <si>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</si>
  <si>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</si>
  <si>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</si>
  <si>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</si>
  <si>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</si>
  <si>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</si>
  <si>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</si>
  <si>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</si>
  <si>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</si>
  <si>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</si>
  <si>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</si>
  <si>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</si>
  <si>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</si>
  <si>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</si>
  <si>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</si>
  <si>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</si>
  <si>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</si>
  <si>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</si>
  <si>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</si>
  <si>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</si>
  <si>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</si>
  <si>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</si>
  <si>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</si>
  <si>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</si>
  <si>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</si>
  <si>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</si>
  <si>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</si>
  <si>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</si>
  <si>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</si>
  <si>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</si>
  <si>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</si>
  <si>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</si>
  <si>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</si>
  <si>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</si>
  <si>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</si>
  <si>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</si>
  <si>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</si>
  <si>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</si>
  <si>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</si>
  <si>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</si>
  <si>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</si>
  <si>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</si>
  <si>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</si>
  <si>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</si>
  <si>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</si>
  <si>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</si>
  <si>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</si>
  <si>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</si>
  <si>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</si>
  <si>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</si>
  <si>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</si>
  <si>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</si>
  <si>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</si>
  <si>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</si>
  <si>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</si>
  <si>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</si>
  <si>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</si>
  <si>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</si>
  <si>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</si>
  <si>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</si>
  <si>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</si>
  <si>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</si>
  <si>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</si>
  <si>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</si>
  <si>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</si>
  <si>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</si>
  <si>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</si>
  <si>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</si>
  <si>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</si>
  <si>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</si>
  <si>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</si>
  <si>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</si>
  <si>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</si>
  <si>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</si>
  <si>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</si>
  <si>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</si>
  <si>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</si>
  <si>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</si>
  <si>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</si>
  <si>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</si>
  <si>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</si>
  <si>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</si>
  <si>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</si>
  <si>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</si>
  <si>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</si>
  <si>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</si>
  <si>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</si>
  <si>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</si>
  <si>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</si>
  <si>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</si>
  <si>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</si>
  <si>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</si>
  <si>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</si>
  <si>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</si>
  <si>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</si>
  <si>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</si>
  <si>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</si>
  <si>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</si>
  <si>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</si>
  <si>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</si>
  <si>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</si>
  <si>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</si>
  <si>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</si>
  <si>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</si>
  <si>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</si>
  <si>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</si>
  <si>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</si>
  <si>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</si>
  <si>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</si>
  <si>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</si>
  <si>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</si>
  <si>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</si>
  <si>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</si>
  <si>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</si>
  <si>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</si>
  <si>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</si>
  <si>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</si>
  <si>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</si>
  <si>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</si>
  <si>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</si>
  <si>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</si>
  <si>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</si>
  <si>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</si>
  <si>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</si>
  <si>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</si>
  <si>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</si>
  <si>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</si>
  <si>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</si>
  <si>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</si>
  <si>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</si>
  <si>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</si>
  <si>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</si>
  <si>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</si>
  <si>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</si>
  <si>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</si>
  <si>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</si>
  <si>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</si>
  <si>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</si>
  <si>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</si>
  <si>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</si>
  <si>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</si>
  <si>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</si>
  <si>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</si>
  <si>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</si>
  <si>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</si>
  <si>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</si>
  <si>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</si>
  <si>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</si>
  <si>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</si>
  <si>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</si>
  <si>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</si>
  <si>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</si>
  <si>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</si>
  <si>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</si>
  <si>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</si>
  <si>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</si>
  <si>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</si>
  <si>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</si>
  <si>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</si>
  <si>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</si>
  <si>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</si>
  <si>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</si>
  <si>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</si>
  <si>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</si>
  <si>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</si>
  <si>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</si>
  <si>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</si>
  <si>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</si>
  <si>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</si>
  <si>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</si>
  <si>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</si>
  <si>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</si>
  <si>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</si>
  <si>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</si>
  <si>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</si>
  <si>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</si>
  <si>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</si>
  <si>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</si>
  <si>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</si>
  <si>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</si>
  <si>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</si>
  <si>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</si>
  <si>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</si>
  <si>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</si>
  <si>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</si>
  <si>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</si>
  <si>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</si>
  <si>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</si>
  <si>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</si>
  <si>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</si>
  <si>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</si>
  <si>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</si>
  <si>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</si>
  <si>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</si>
  <si>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</si>
  <si>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</si>
  <si>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</si>
  <si>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</si>
  <si>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</si>
  <si>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</si>
  <si>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</si>
  <si>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</si>
  <si>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</si>
  <si>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</si>
  <si>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</si>
  <si>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</si>
  <si>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</si>
  <si>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</si>
  <si>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</si>
  <si>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</si>
  <si>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</si>
  <si>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</si>
  <si>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</si>
  <si>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</si>
  <si>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</si>
  <si>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</si>
  <si>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</si>
  <si>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</si>
  <si>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</si>
  <si>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</si>
  <si>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</si>
  <si>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</si>
  <si>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</si>
  <si>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</si>
  <si>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</si>
  <si>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</si>
  <si>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</si>
  <si>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</si>
  <si>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</si>
  <si>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</si>
  <si>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</si>
  <si>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</si>
  <si>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</si>
  <si>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</si>
  <si>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</si>
  <si>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</si>
  <si>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</si>
  <si>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</si>
  <si>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</si>
  <si>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</si>
  <si>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</si>
  <si>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</si>
  <si>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</si>
  <si>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</si>
  <si>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</si>
  <si>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</si>
  <si>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</si>
  <si>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</si>
  <si>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</si>
  <si>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</si>
  <si>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</si>
  <si>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</si>
  <si>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</si>
  <si>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</si>
  <si>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</si>
  <si>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</si>
  <si>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</si>
  <si>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</si>
  <si>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</si>
  <si>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</si>
  <si>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</si>
  <si>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</si>
  <si>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</si>
  <si>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</si>
  <si>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</si>
  <si>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</si>
  <si>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</si>
  <si>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</si>
  <si>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</si>
  <si>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</si>
  <si>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</si>
  <si>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</si>
  <si>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</si>
  <si>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</si>
  <si>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</si>
  <si>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</si>
  <si>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</si>
  <si>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</si>
  <si>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</si>
  <si>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</si>
  <si>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</si>
  <si>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</si>
  <si>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</si>
  <si>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</si>
  <si>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</si>
  <si>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</si>
  <si>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</si>
  <si>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</si>
  <si>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</si>
  <si>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</si>
  <si>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</si>
  <si>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</si>
  <si>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</si>
  <si>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</si>
  <si>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</si>
  <si>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</si>
  <si>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</si>
  <si>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</si>
  <si>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</si>
  <si>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</si>
  <si>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</si>
  <si>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</si>
  <si>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</si>
  <si>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</si>
  <si>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</si>
  <si>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</si>
  <si>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</si>
  <si>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</si>
  <si>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</si>
  <si>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</si>
  <si>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</si>
  <si>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</si>
  <si>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</si>
  <si>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</si>
  <si>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</si>
  <si>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</si>
  <si>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</si>
  <si>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</si>
  <si>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</si>
  <si>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</si>
  <si>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</si>
  <si>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</si>
  <si>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</si>
  <si>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</si>
  <si>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</si>
  <si>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</si>
  <si>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</si>
  <si>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</si>
  <si>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</si>
  <si>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</si>
  <si>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</si>
  <si>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</si>
  <si>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</si>
  <si>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</si>
  <si>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</si>
  <si>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</si>
  <si>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</si>
  <si>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</si>
  <si>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</si>
  <si>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</si>
  <si>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</si>
  <si>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</si>
  <si>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</si>
  <si>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</si>
  <si>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</si>
  <si>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</si>
  <si>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</si>
  <si>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</si>
  <si>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</si>
  <si>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</si>
  <si>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</si>
  <si>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</si>
  <si>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</si>
  <si>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</si>
  <si>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</si>
  <si>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</si>
  <si>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</si>
  <si>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</si>
  <si>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</si>
  <si>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</si>
  <si>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</si>
  <si>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</si>
  <si>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</si>
  <si>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</si>
  <si>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</si>
  <si>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</si>
  <si>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</si>
  <si>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</si>
  <si>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</si>
  <si>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</si>
  <si>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</si>
  <si>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</si>
  <si>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</si>
  <si>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</si>
  <si>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</si>
  <si>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</si>
  <si>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</si>
  <si>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</si>
  <si>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</si>
  <si>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</si>
  <si>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</si>
  <si>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</si>
  <si>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</si>
  <si>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</si>
  <si>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</si>
  <si>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</si>
  <si>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</si>
  <si>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</si>
  <si>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</si>
  <si>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</si>
  <si>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</si>
  <si>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</si>
  <si>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</si>
  <si>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</si>
  <si>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</si>
  <si>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</si>
  <si>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</si>
  <si>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</si>
  <si>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</si>
  <si>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</si>
  <si>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</si>
  <si>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</si>
  <si>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</si>
  <si>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</si>
  <si>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</si>
  <si>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</si>
  <si>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</si>
  <si>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</si>
  <si>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</si>
  <si>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</si>
  <si>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</si>
  <si>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</si>
  <si>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</si>
  <si>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</si>
  <si>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</si>
  <si>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</si>
  <si>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</si>
  <si>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</si>
  <si>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</si>
  <si>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</si>
  <si>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</si>
  <si>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</si>
  <si>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</si>
  <si>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</si>
  <si>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</si>
  <si>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</si>
  <si>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</si>
  <si>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</si>
  <si>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</si>
  <si>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</si>
  <si>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</si>
  <si>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</si>
  <si>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</si>
  <si>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</si>
  <si>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</si>
  <si>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</si>
  <si>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</si>
  <si>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</si>
  <si>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</si>
  <si>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</si>
  <si>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</si>
  <si>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</si>
  <si>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</si>
  <si>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</si>
  <si>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</si>
  <si>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</si>
  <si>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</si>
  <si>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</si>
  <si>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</si>
  <si>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</si>
  <si>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</si>
  <si>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</si>
  <si>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</si>
  <si>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</si>
  <si>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</si>
  <si>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</si>
  <si>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</si>
  <si>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</si>
  <si>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</si>
  <si>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</si>
  <si>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</si>
  <si>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</si>
  <si>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</si>
  <si>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</si>
  <si>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</si>
  <si>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</si>
  <si>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</si>
  <si>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</si>
  <si>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</si>
  <si>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</si>
  <si>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</si>
  <si>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</si>
  <si>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</si>
  <si>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</si>
  <si>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</si>
  <si>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</si>
  <si>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</si>
  <si>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</si>
  <si>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</si>
  <si>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</si>
  <si>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</si>
  <si>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</si>
  <si>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</si>
  <si>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</si>
  <si>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</si>
  <si>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</si>
  <si>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</si>
  <si>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</si>
  <si>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</si>
  <si>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</si>
  <si>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</si>
  <si>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</si>
  <si>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</si>
  <si>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</si>
  <si>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</si>
  <si>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</si>
  <si>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</si>
  <si>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</si>
  <si>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</si>
  <si>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</si>
  <si>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</si>
  <si>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</si>
  <si>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</si>
  <si>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</si>
  <si>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</si>
  <si>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</si>
  <si>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</si>
  <si>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</si>
  <si>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</si>
  <si>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</si>
  <si>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</si>
  <si>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</si>
  <si>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</si>
  <si>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</si>
  <si>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</si>
  <si>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</si>
  <si>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</si>
  <si>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</si>
  <si>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</si>
  <si>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</si>
  <si>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</si>
  <si>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</si>
  <si>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</si>
  <si>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</si>
  <si>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</si>
  <si>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</si>
  <si>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</si>
  <si>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</si>
  <si>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</si>
  <si>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</si>
  <si>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</si>
  <si>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</si>
  <si>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</si>
  <si>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</si>
  <si>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</si>
  <si>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</si>
  <si>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</si>
  <si>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</si>
  <si>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</si>
  <si>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</si>
  <si>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</si>
  <si>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</si>
  <si>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</si>
  <si>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</si>
  <si>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</si>
  <si>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</si>
  <si>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</si>
  <si>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</si>
  <si>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</si>
  <si>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</si>
  <si>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</si>
  <si>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</si>
  <si>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</si>
  <si>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</si>
  <si>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</si>
  <si>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</si>
  <si>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</si>
  <si>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</si>
  <si>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</si>
  <si>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</si>
  <si>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</si>
  <si>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</si>
  <si>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</si>
  <si>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</si>
  <si>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</si>
  <si>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</si>
  <si>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</si>
  <si>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</si>
  <si>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</si>
  <si>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</si>
  <si>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</si>
  <si>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</si>
  <si>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</si>
  <si>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</si>
  <si>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</si>
  <si>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</si>
  <si>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</si>
  <si>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</si>
  <si>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</si>
  <si>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</si>
  <si>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</si>
  <si>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</si>
  <si>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</si>
  <si>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</si>
  <si>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</si>
  <si>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</si>
  <si>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</si>
  <si>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</si>
  <si>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</si>
  <si>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</si>
  <si>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</si>
  <si>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</si>
  <si>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</si>
  <si>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</si>
  <si>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</si>
  <si>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</si>
  <si>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</si>
  <si>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</si>
  <si>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</si>
  <si>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</si>
  <si>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</si>
  <si>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</si>
  <si>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</si>
  <si>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</si>
  <si>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</si>
  <si>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</si>
  <si>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</si>
  <si>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</si>
  <si>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</si>
  <si>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</si>
  <si>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</si>
  <si>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</si>
  <si>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</si>
  <si>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</si>
  <si>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</si>
  <si>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</si>
  <si>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</si>
  <si>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</si>
  <si>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</si>
  <si>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</si>
  <si>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</si>
  <si>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</si>
  <si>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</si>
  <si>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</si>
  <si>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</si>
  <si>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</si>
  <si>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</si>
  <si>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</si>
  <si>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</si>
  <si>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</si>
  <si>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</si>
  <si>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</si>
  <si>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</si>
  <si>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</si>
  <si>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</si>
  <si>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</si>
  <si>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</si>
  <si>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</si>
  <si>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</si>
  <si>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</si>
  <si>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</si>
  <si>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</si>
  <si>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</si>
  <si>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</si>
  <si>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</si>
  <si>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</si>
  <si>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</si>
  <si>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</si>
  <si>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</si>
  <si>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</si>
  <si>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</si>
  <si>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</si>
  <si>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</si>
  <si>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</si>
  <si>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</si>
  <si>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</si>
  <si>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</si>
  <si>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</si>
  <si>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</si>
  <si>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</si>
  <si>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</si>
  <si>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</si>
  <si>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</si>
  <si>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</si>
  <si>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</si>
  <si>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</si>
  <si>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</si>
  <si>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</si>
  <si>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</si>
  <si>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</si>
  <si>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</si>
  <si>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</si>
  <si>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</si>
  <si>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</si>
  <si>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</si>
  <si>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</si>
  <si>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</si>
  <si>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</si>
  <si>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</si>
  <si>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</si>
  <si>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</si>
  <si>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</si>
  <si>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</si>
  <si>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</si>
  <si>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</si>
  <si>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</si>
  <si>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</si>
  <si>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</si>
  <si>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</si>
  <si>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</si>
  <si>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</si>
  <si>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</si>
  <si>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</si>
  <si>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</si>
  <si>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</si>
  <si>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</si>
  <si>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</si>
  <si>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</si>
  <si>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</si>
  <si>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</si>
  <si>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</si>
  <si>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</si>
  <si>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</si>
  <si>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</si>
  <si>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</si>
  <si>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</si>
  <si>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</si>
  <si>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</si>
  <si>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</si>
  <si>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</si>
  <si>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</si>
  <si>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</si>
  <si>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</si>
  <si>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</si>
  <si>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</si>
  <si>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</si>
  <si>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</si>
  <si>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</si>
  <si>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</si>
  <si>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</si>
  <si>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</si>
  <si>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</si>
  <si>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</si>
  <si>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</si>
  <si>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</si>
  <si>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</si>
  <si>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</si>
  <si>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</si>
  <si>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</si>
  <si>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</si>
  <si>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</si>
  <si>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</si>
  <si>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</si>
  <si>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</si>
  <si>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</si>
  <si>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</si>
  <si>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</si>
  <si>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</si>
  <si>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</si>
  <si>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</si>
  <si>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</si>
  <si>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</si>
  <si>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</si>
  <si>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</si>
  <si>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</si>
  <si>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</si>
  <si>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</si>
  <si>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</si>
  <si>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</si>
  <si>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</si>
  <si>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</si>
  <si>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</si>
  <si>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</si>
  <si>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</si>
  <si>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</si>
  <si>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</si>
  <si>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</si>
  <si>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</si>
  <si>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</si>
  <si>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</si>
  <si>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</si>
  <si>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</si>
  <si>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</si>
  <si>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</si>
  <si>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</si>
  <si>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</si>
  <si>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</si>
  <si>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</si>
  <si>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</si>
  <si>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</si>
  <si>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</si>
  <si>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</si>
  <si>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</si>
  <si>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</si>
  <si>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</si>
  <si>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</si>
  <si>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</si>
  <si>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</si>
  <si>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</si>
  <si>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</si>
  <si>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</si>
  <si>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</si>
  <si>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</si>
  <si>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</si>
  <si>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</si>
  <si>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</si>
  <si>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</si>
  <si>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</si>
  <si>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</si>
  <si>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</si>
  <si>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</si>
  <si>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</si>
  <si>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</si>
  <si>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</si>
  <si>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</si>
  <si>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</si>
  <si>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</si>
  <si>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</si>
  <si>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</si>
  <si>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</si>
  <si>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</si>
  <si>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</si>
  <si>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</si>
  <si>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</si>
  <si>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</si>
  <si>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</si>
  <si>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</si>
  <si>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</si>
  <si>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</si>
  <si>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</si>
  <si>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</si>
  <si>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</si>
  <si>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</si>
  <si>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</si>
  <si>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</si>
  <si>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</si>
  <si>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</si>
  <si>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</si>
  <si>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</si>
  <si>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</si>
  <si>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</si>
  <si>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</si>
  <si>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</si>
  <si>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</si>
  <si>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</si>
  <si>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</si>
  <si>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</si>
  <si>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</si>
  <si>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</si>
  <si>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</si>
  <si>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</si>
  <si>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</si>
  <si>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</si>
  <si>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</si>
  <si>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</si>
  <si>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</si>
  <si>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</si>
  <si>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</si>
  <si>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</si>
  <si>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</si>
  <si>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</si>
  <si>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</si>
  <si>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</si>
  <si>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</si>
  <si>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</si>
  <si>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</si>
  <si>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</si>
  <si>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</si>
  <si>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</si>
  <si>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</si>
  <si>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</si>
  <si>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</si>
  <si>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</si>
  <si>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</si>
  <si>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</si>
  <si>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</si>
  <si>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</si>
  <si>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</si>
  <si>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</si>
  <si>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</si>
  <si>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</si>
  <si>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</si>
  <si>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</si>
  <si>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</si>
  <si>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</si>
  <si>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</si>
  <si>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</si>
  <si>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</si>
  <si>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</si>
  <si>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</si>
  <si>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</si>
  <si>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</si>
  <si>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</si>
  <si>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</si>
  <si>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</si>
  <si>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</si>
  <si>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</si>
  <si>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</si>
  <si>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</si>
  <si>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</si>
  <si>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</si>
  <si>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</si>
  <si>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</si>
  <si>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</si>
  <si>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</si>
  <si>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</si>
  <si>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</si>
  <si>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</si>
  <si>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</si>
  <si>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</si>
  <si>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</si>
  <si>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</si>
  <si>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</si>
  <si>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</si>
  <si>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</si>
  <si>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</si>
  <si>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</si>
  <si>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</si>
  <si>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</si>
  <si>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</si>
  <si>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</si>
  <si>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</si>
  <si>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</si>
  <si>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</si>
  <si>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</si>
  <si>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</si>
  <si>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</si>
  <si>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</si>
  <si>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</si>
  <si>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</si>
  <si>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</si>
  <si>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</si>
  <si>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</si>
  <si>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</si>
  <si>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</si>
  <si>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</si>
  <si>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</si>
  <si>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</si>
  <si>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</si>
  <si>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</si>
  <si>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</si>
  <si>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</si>
  <si>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</si>
  <si>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</si>
  <si>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</si>
  <si>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</si>
  <si>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</si>
  <si>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</si>
  <si>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</si>
  <si>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</si>
  <si>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</si>
  <si>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</si>
  <si>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</si>
  <si>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</si>
  <si>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</si>
  <si>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</si>
  <si>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</si>
  <si>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</si>
  <si>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</si>
  <si>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</si>
  <si>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</si>
  <si>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</si>
  <si>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</si>
  <si>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</si>
  <si>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</si>
  <si>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</si>
  <si>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</si>
  <si>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</si>
  <si>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</si>
  <si>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</si>
  <si>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</si>
  <si>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</si>
  <si>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</si>
  <si>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</si>
  <si>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</si>
  <si>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</si>
  <si>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</si>
  <si>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</si>
  <si>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</si>
  <si>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</si>
  <si>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</si>
  <si>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</si>
  <si>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</si>
  <si>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</si>
  <si>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</si>
  <si>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</si>
  <si>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</si>
  <si>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</si>
  <si>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</si>
  <si>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</si>
  <si>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</si>
  <si>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</si>
  <si>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</si>
  <si>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</si>
  <si>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</si>
  <si>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</si>
  <si>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</si>
  <si>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</si>
  <si>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</si>
  <si>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</si>
  <si>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</si>
  <si>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</si>
  <si>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</si>
  <si>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</si>
  <si>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</si>
  <si>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</si>
  <si>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</si>
  <si>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</si>
  <si>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</si>
  <si>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</si>
  <si>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</si>
  <si>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</si>
  <si>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</si>
  <si>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</si>
  <si>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</si>
  <si>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</si>
  <si>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</si>
  <si>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</si>
  <si>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</si>
  <si>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</si>
  <si>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</si>
  <si>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</si>
  <si>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</si>
  <si>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</si>
  <si>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</si>
  <si>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</si>
  <si>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</si>
  <si>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</si>
  <si>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</si>
  <si>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</si>
  <si>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</si>
  <si>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</si>
  <si>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</si>
  <si>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</si>
  <si>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</si>
  <si>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</si>
  <si>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</si>
  <si>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</si>
  <si>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</si>
  <si>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</si>
  <si>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</si>
  <si>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</si>
  <si>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</si>
  <si>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</si>
  <si>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</si>
  <si>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</si>
  <si>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</si>
  <si>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</si>
  <si>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</si>
  <si>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</si>
  <si>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</si>
  <si>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</si>
  <si>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</si>
  <si>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</si>
  <si>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</si>
  <si>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</si>
  <si>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</si>
  <si>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</si>
  <si>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</si>
  <si>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</si>
  <si>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</si>
  <si>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</si>
  <si>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</si>
  <si>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</si>
  <si>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</si>
  <si>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</si>
  <si>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</si>
  <si>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</si>
  <si>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</si>
  <si>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</si>
  <si>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</si>
  <si>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</si>
  <si>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</si>
  <si>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</si>
  <si>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</si>
  <si>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</si>
  <si>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</si>
  <si>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</si>
  <si>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</si>
  <si>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</si>
  <si>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</si>
  <si>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</si>
  <si>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</si>
  <si>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</si>
  <si>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</si>
  <si>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</si>
  <si>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</si>
  <si>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</si>
  <si>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</si>
  <si>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</si>
  <si>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</si>
  <si>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</si>
  <si>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</si>
  <si>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</si>
  <si>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</si>
  <si>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</si>
  <si>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</si>
  <si>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</si>
  <si>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</si>
  <si>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</si>
  <si>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</si>
  <si>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</si>
  <si>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</si>
  <si>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</si>
  <si>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</si>
  <si>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</si>
  <si>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</si>
  <si>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</si>
  <si>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</si>
  <si>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</si>
  <si>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</si>
  <si>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</si>
  <si>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</si>
  <si>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</si>
  <si>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</si>
  <si>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</si>
  <si>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</si>
  <si>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</si>
  <si>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</si>
  <si>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</si>
  <si>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</si>
  <si>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</si>
  <si>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</si>
  <si>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</si>
  <si>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</si>
  <si>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</si>
  <si>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</si>
  <si>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</si>
  <si>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</si>
  <si>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</si>
  <si>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</si>
  <si>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</si>
  <si>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</si>
  <si>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</si>
  <si>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</si>
  <si>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</si>
  <si>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</si>
  <si>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</si>
  <si>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</si>
  <si>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</si>
  <si>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</si>
  <si>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</si>
  <si>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</si>
  <si>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</si>
  <si>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</si>
  <si>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</si>
  <si>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</si>
  <si>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</si>
  <si>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</si>
  <si>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</si>
  <si>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</si>
  <si>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</si>
  <si>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</si>
  <si>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</si>
  <si>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</si>
  <si>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</si>
  <si>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</si>
  <si>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</si>
  <si>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</si>
  <si>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</si>
  <si>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</si>
  <si>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</si>
  <si>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</si>
  <si>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</si>
  <si>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</si>
  <si>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</si>
  <si>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</si>
  <si>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</si>
  <si>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</si>
  <si>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</si>
  <si>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</si>
  <si>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</si>
  <si>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</si>
  <si>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</si>
  <si>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</si>
  <si>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</si>
  <si>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</si>
  <si>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</si>
  <si>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</si>
  <si>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</si>
  <si>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</si>
  <si>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</si>
  <si>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</si>
  <si>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</si>
  <si>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</si>
  <si>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</si>
  <si>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</si>
  <si>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</si>
  <si>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</si>
  <si>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</si>
  <si>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</si>
  <si>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</si>
  <si>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</si>
  <si>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</si>
  <si>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</si>
  <si>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</si>
  <si>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</si>
  <si>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</si>
  <si>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</si>
  <si>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</si>
  <si>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</si>
  <si>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</si>
  <si>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</si>
  <si>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</si>
  <si>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</si>
  <si>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</si>
  <si>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</si>
  <si>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</si>
  <si>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</si>
  <si>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</si>
  <si>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</si>
  <si>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</si>
  <si>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</si>
  <si>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</si>
  <si>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</si>
  <si>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</si>
  <si>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</si>
  <si>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</si>
  <si>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</si>
  <si>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</si>
  <si>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</si>
  <si>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</si>
  <si>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</si>
  <si>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</si>
  <si>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</si>
  <si>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</si>
  <si>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</si>
  <si>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</si>
  <si>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</si>
  <si>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</si>
  <si>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</si>
  <si>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</si>
  <si>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</si>
  <si>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</si>
  <si>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</si>
  <si>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</si>
  <si>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</si>
  <si>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</si>
  <si>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</si>
  <si>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</si>
  <si>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</si>
  <si>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</si>
  <si>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</si>
  <si>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</si>
  <si>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</si>
  <si>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</si>
  <si>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</si>
  <si>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</si>
  <si>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</si>
  <si>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</si>
  <si>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</si>
  <si>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</si>
  <si>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</si>
  <si>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</si>
  <si>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</si>
  <si>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</si>
  <si>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</si>
  <si>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</si>
  <si>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</si>
  <si>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</si>
  <si>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</si>
  <si>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</si>
  <si>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</si>
  <si>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</si>
  <si>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</si>
  <si>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</si>
  <si>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</si>
  <si>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</si>
  <si>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</si>
  <si>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</si>
  <si>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</si>
  <si>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</si>
  <si>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</si>
  <si>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</si>
  <si>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</si>
  <si>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</si>
  <si>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</si>
  <si>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</si>
  <si>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</si>
  <si>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</si>
  <si>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</si>
  <si>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</si>
  <si>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</si>
  <si>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</si>
  <si>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</si>
  <si>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</si>
  <si>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</si>
  <si>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</si>
  <si>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</si>
  <si>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</si>
  <si>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</si>
  <si>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</si>
  <si>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</si>
  <si>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</si>
  <si>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</si>
  <si>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</si>
  <si>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</si>
  <si>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</si>
  <si>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</si>
  <si>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</si>
  <si>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</si>
  <si>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</si>
  <si>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</si>
  <si>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</si>
  <si>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</si>
  <si>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</si>
  <si>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</si>
  <si>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</si>
  <si>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</si>
  <si>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</si>
  <si>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</si>
  <si>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</si>
  <si>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</si>
  <si>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</si>
  <si>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</si>
  <si>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</si>
  <si>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</si>
  <si>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</si>
  <si>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</si>
  <si>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</si>
  <si>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</si>
  <si>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</si>
  <si>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</si>
  <si>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</si>
  <si>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</si>
  <si>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</si>
  <si>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</si>
  <si>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</si>
  <si>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</si>
  <si>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</si>
  <si>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</si>
  <si>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</si>
  <si>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</si>
  <si>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</si>
  <si>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</si>
  <si>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</si>
  <si>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</si>
  <si>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</si>
  <si>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</si>
  <si>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</si>
  <si>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</si>
  <si>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</si>
  <si>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</si>
  <si>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</si>
  <si>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</si>
  <si>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</si>
  <si>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</si>
  <si>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</si>
  <si>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</si>
  <si>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</si>
  <si>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</si>
  <si>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</si>
  <si>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</si>
  <si>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</si>
  <si>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</si>
  <si>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</si>
  <si>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</si>
  <si>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</si>
  <si>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</si>
  <si>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</si>
  <si>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</si>
  <si>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</si>
  <si>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</si>
  <si>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</si>
  <si>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</si>
  <si>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</si>
  <si>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</si>
  <si>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</si>
  <si>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</si>
  <si>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</si>
  <si>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</si>
  <si>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</si>
  <si>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</si>
  <si>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</si>
  <si>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</si>
  <si>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</si>
  <si>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</si>
  <si>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</si>
  <si>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</si>
  <si>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</si>
  <si>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</si>
  <si>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</si>
  <si>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</si>
  <si>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</si>
  <si>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</si>
  <si>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</si>
  <si>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</si>
  <si>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</si>
  <si>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</si>
  <si>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</si>
  <si>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</si>
  <si>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</si>
  <si>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</si>
  <si>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</si>
  <si>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</si>
  <si>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</si>
  <si>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</si>
  <si>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</si>
  <si>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</si>
  <si>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</si>
  <si>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</si>
  <si>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</si>
  <si>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</si>
  <si>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</si>
  <si>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</si>
  <si>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</si>
  <si>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</si>
  <si>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</si>
  <si>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</si>
  <si>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</si>
  <si>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</si>
  <si>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</si>
  <si>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</si>
  <si>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</si>
  <si>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</si>
  <si>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</si>
  <si>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</si>
  <si>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</si>
  <si>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</si>
  <si>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</si>
  <si>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</si>
  <si>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</si>
  <si>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</si>
  <si>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</si>
  <si>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</si>
  <si>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</si>
  <si>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</si>
  <si>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</si>
  <si>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</si>
  <si>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</si>
  <si>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</si>
  <si>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</si>
  <si>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</si>
  <si>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</si>
  <si>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</si>
  <si>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</si>
  <si>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</si>
  <si>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</si>
  <si>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</si>
  <si>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</si>
  <si>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</si>
  <si>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</si>
  <si>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</si>
  <si>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</si>
  <si>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</si>
  <si>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</si>
  <si>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</si>
  <si>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</si>
  <si>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</si>
  <si>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</si>
  <si>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</si>
  <si>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</si>
  <si>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</si>
  <si>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</si>
  <si>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</si>
  <si>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</si>
  <si>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</si>
  <si>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</si>
  <si>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</si>
  <si>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</si>
  <si>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</si>
  <si>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</si>
  <si>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</si>
  <si>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</si>
  <si>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</si>
  <si>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</si>
  <si>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</si>
  <si>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</si>
  <si>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</si>
  <si>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</si>
  <si>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</si>
  <si>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</si>
  <si>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</si>
  <si>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</si>
  <si>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</si>
  <si>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</si>
  <si>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</si>
  <si>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</si>
  <si>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</si>
  <si>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</si>
  <si>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</si>
  <si>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</si>
  <si>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</si>
  <si>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</si>
  <si>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</si>
  <si>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</si>
  <si>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</si>
  <si>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</si>
  <si>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</si>
  <si>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</si>
  <si>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</si>
  <si>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</si>
  <si>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</si>
  <si>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</si>
  <si>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</si>
  <si>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</si>
  <si>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</si>
  <si>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</si>
  <si>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</si>
  <si>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</si>
  <si>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</si>
  <si>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</si>
  <si>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</si>
  <si>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</si>
  <si>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</si>
  <si>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</si>
  <si>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</si>
  <si>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</si>
  <si>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</si>
  <si>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</si>
  <si>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</si>
  <si>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</si>
  <si>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</si>
  <si>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</si>
  <si>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</si>
  <si>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</si>
  <si>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</si>
  <si>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</si>
  <si>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</si>
  <si>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</si>
  <si>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</si>
  <si>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</si>
  <si>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</si>
  <si>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</si>
  <si>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</si>
  <si>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</si>
  <si>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</si>
  <si>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</si>
  <si>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</si>
  <si>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</si>
  <si>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</si>
  <si>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</si>
  <si>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</si>
  <si>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</si>
  <si>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</si>
  <si>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</si>
  <si>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</si>
  <si>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</si>
  <si>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</si>
  <si>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</si>
  <si>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</si>
  <si>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</si>
  <si>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</si>
  <si>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</si>
  <si>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</si>
  <si>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</si>
  <si>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</si>
  <si>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</si>
  <si>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</si>
  <si>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</si>
  <si>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</si>
  <si>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</si>
  <si>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</si>
  <si>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</si>
  <si>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</si>
  <si>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</si>
  <si>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</si>
  <si>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</si>
  <si>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</si>
  <si>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</si>
  <si>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</si>
  <si>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</si>
  <si>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</si>
  <si>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</si>
  <si>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</si>
  <si>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</si>
  <si>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</si>
  <si>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</si>
  <si>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</si>
  <si>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</si>
  <si>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</si>
  <si>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</si>
  <si>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</si>
  <si>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</si>
  <si>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</si>
  <si>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</si>
  <si>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</si>
  <si>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</si>
  <si>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</si>
  <si>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</si>
  <si>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</si>
  <si>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</si>
  <si>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</si>
  <si>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</si>
  <si>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</si>
  <si>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</si>
  <si>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</si>
  <si>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</si>
  <si>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</si>
  <si>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</si>
  <si>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</si>
  <si>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</si>
  <si>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</si>
  <si>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</si>
  <si>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</si>
  <si>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</si>
  <si>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</si>
  <si>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</si>
  <si>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</si>
  <si>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</si>
  <si>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</si>
  <si>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</si>
  <si>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</si>
  <si>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</si>
  <si>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</si>
  <si>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</si>
  <si>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</si>
  <si>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</si>
  <si>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</si>
  <si>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</si>
  <si>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</si>
  <si>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</si>
  <si>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</si>
  <si>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</si>
  <si>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</si>
  <si>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</si>
  <si>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</si>
  <si>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</si>
  <si>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</si>
  <si>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</si>
  <si>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</si>
  <si>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</si>
  <si>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</si>
  <si>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</si>
  <si>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</si>
  <si>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</si>
  <si>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</si>
  <si>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</si>
  <si>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</si>
  <si>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</si>
  <si>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</si>
  <si>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</si>
  <si>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</si>
  <si>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</si>
  <si>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</si>
  <si>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</si>
  <si>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</si>
  <si>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</si>
  <si>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</si>
  <si>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</si>
  <si>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</si>
  <si>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</si>
  <si>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</si>
  <si>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</si>
  <si>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</si>
  <si>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</si>
  <si>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</si>
  <si>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</si>
  <si>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</si>
  <si>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</si>
  <si>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</si>
  <si>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</si>
  <si>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</si>
  <si>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</si>
  <si>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</si>
  <si>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</si>
  <si>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</si>
  <si>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</si>
  <si>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</si>
  <si>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</si>
  <si>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</si>
  <si>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</si>
  <si>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</si>
  <si>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</si>
  <si>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</si>
  <si>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</si>
  <si>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</si>
  <si>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</si>
  <si>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</si>
  <si>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</si>
  <si>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</si>
  <si>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</si>
  <si>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</si>
  <si>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</si>
  <si>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</si>
  <si>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</si>
  <si>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</si>
  <si>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</si>
  <si>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</si>
  <si>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</si>
  <si>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</si>
  <si>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</si>
  <si>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</si>
  <si>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</si>
  <si>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</si>
  <si>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</si>
  <si>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</si>
  <si>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</si>
  <si>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</si>
  <si>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</si>
  <si>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</si>
  <si>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</si>
  <si>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</si>
  <si>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</si>
  <si>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</si>
  <si>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</si>
  <si>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</si>
  <si>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</si>
  <si>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</si>
  <si>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</si>
  <si>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</si>
  <si>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</si>
  <si>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</si>
  <si>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</si>
  <si>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</si>
  <si>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</si>
  <si>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</si>
  <si>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</si>
  <si>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</si>
  <si>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</si>
  <si>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</si>
  <si>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</si>
  <si>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</si>
  <si>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</si>
  <si>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</si>
  <si>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</si>
  <si>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</si>
  <si>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</si>
  <si>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</si>
  <si>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</si>
  <si>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</si>
  <si>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</si>
  <si>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</si>
  <si>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</si>
  <si>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</si>
  <si>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</si>
  <si>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</si>
  <si>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</si>
  <si>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</si>
  <si>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</si>
  <si>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</si>
  <si>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</si>
  <si>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</si>
  <si>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</si>
  <si>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</si>
  <si>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</si>
  <si>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</si>
  <si>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</si>
  <si>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</si>
  <si>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</si>
  <si>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</si>
  <si>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</si>
  <si>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</si>
  <si>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</si>
  <si>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</si>
  <si>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</si>
  <si>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</si>
  <si>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</si>
  <si>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</si>
  <si>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</si>
  <si>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</si>
  <si>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</si>
  <si>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</si>
  <si>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</si>
  <si>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</si>
  <si>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</si>
  <si>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</si>
  <si>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</si>
  <si>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</si>
  <si>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</si>
  <si>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</si>
  <si>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</si>
  <si>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</si>
  <si>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</si>
  <si>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</si>
  <si>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</si>
  <si>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</si>
  <si>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</si>
  <si>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</si>
  <si>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</si>
  <si>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</si>
  <si>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</si>
  <si>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</si>
  <si>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</si>
  <si>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</si>
  <si>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</si>
  <si>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</si>
  <si>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</si>
  <si>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</si>
  <si>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</si>
  <si>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</si>
  <si>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</si>
  <si>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</si>
  <si>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</si>
  <si>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</si>
  <si>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</si>
  <si>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</si>
  <si>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</si>
  <si>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</si>
  <si>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</si>
  <si>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</si>
  <si>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</si>
  <si>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</si>
  <si>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</si>
  <si>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</si>
  <si>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</si>
  <si>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</si>
  <si>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</si>
  <si>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</si>
  <si>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</si>
  <si>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</si>
  <si>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</si>
  <si>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</si>
  <si>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</si>
  <si>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</si>
  <si>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</si>
  <si>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</si>
  <si>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</si>
  <si>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</si>
  <si>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</si>
  <si>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</si>
  <si>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</si>
  <si>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</si>
  <si>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</si>
  <si>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</si>
  <si>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</si>
  <si>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</si>
  <si>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</si>
  <si>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</si>
  <si>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</si>
  <si>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</si>
  <si>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</si>
  <si>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</si>
  <si>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</si>
  <si>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</si>
  <si>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</si>
  <si>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</si>
  <si>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</si>
  <si>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</si>
  <si>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</si>
  <si>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</si>
  <si>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</si>
  <si>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</si>
  <si>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</si>
  <si>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</si>
  <si>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</si>
  <si>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</si>
  <si>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</si>
  <si>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</si>
  <si>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</si>
  <si>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</si>
  <si>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</si>
  <si>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</si>
  <si>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</si>
  <si>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</si>
  <si>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</si>
  <si>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</si>
  <si>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</si>
  <si>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</si>
  <si>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</si>
  <si>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</si>
  <si>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</si>
  <si>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</si>
  <si>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</si>
  <si>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</si>
  <si>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</si>
  <si>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</si>
  <si>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</si>
  <si>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</si>
  <si>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</si>
  <si>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</si>
  <si>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</si>
  <si>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</si>
  <si>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</si>
  <si>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</si>
  <si>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</si>
  <si>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</si>
  <si>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</si>
  <si>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</si>
  <si>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</si>
  <si>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</si>
  <si>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</si>
  <si>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</si>
  <si>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</si>
  <si>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</si>
  <si>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</si>
  <si>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</si>
  <si>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</si>
  <si>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</si>
  <si>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</si>
  <si>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</si>
  <si>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</si>
  <si>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</si>
  <si>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</si>
  <si>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</si>
  <si>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</si>
  <si>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</si>
  <si>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</si>
  <si>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</si>
  <si>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</si>
  <si>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</si>
  <si>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</si>
  <si>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</si>
  <si>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</si>
  <si>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</si>
  <si>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</si>
  <si>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</si>
  <si>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</si>
  <si>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</si>
  <si>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</si>
  <si>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</si>
  <si>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</si>
  <si>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</si>
  <si>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</si>
  <si>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</si>
  <si>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</si>
  <si>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</si>
  <si>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</si>
  <si>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</si>
  <si>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</si>
  <si>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</si>
  <si>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</si>
  <si>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</si>
  <si>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</si>
  <si>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</si>
  <si>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</si>
  <si>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</si>
  <si>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</si>
  <si>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</si>
  <si>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</si>
  <si>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</si>
  <si>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</si>
  <si>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</si>
  <si>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</si>
  <si>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</si>
  <si>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</si>
  <si>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</si>
  <si>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</si>
  <si>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</si>
  <si>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</si>
  <si>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</si>
  <si>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</si>
  <si>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</si>
  <si>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</si>
  <si>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</si>
  <si>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</si>
  <si>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</si>
  <si>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</si>
  <si>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</si>
  <si>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</si>
  <si>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</si>
  <si>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</si>
  <si>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</si>
  <si>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</si>
  <si>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</si>
  <si>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</si>
  <si>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</si>
  <si>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</si>
  <si>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</si>
  <si>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</si>
  <si>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</si>
  <si>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</si>
  <si>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</si>
  <si>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</si>
  <si>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</si>
  <si>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</si>
  <si>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</si>
  <si>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</si>
  <si>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</si>
  <si>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</si>
  <si>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</si>
  <si>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</si>
  <si>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</si>
  <si>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</si>
  <si>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</si>
  <si>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</si>
  <si>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</si>
  <si>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</si>
  <si>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</si>
  <si>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</si>
  <si>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</si>
  <si>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</si>
  <si>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</si>
  <si>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</si>
  <si>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</si>
  <si>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</si>
  <si>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</si>
  <si>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</si>
  <si>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</si>
  <si>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</si>
  <si>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</si>
  <si>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</si>
  <si>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</si>
  <si>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</si>
  <si>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</si>
  <si>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</si>
  <si>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</si>
  <si>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</si>
  <si>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</si>
  <si>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</si>
  <si>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</si>
  <si>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</si>
  <si>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</si>
  <si>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</si>
  <si>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</si>
  <si>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</si>
  <si>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</si>
  <si>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</si>
  <si>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</si>
  <si>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</si>
  <si>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</si>
  <si>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</si>
  <si>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</si>
  <si>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</si>
  <si>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</si>
  <si>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</si>
  <si>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</si>
  <si>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</si>
  <si>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</si>
  <si>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</si>
  <si>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</si>
  <si>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</si>
  <si>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</si>
  <si>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</si>
  <si>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</si>
  <si>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</si>
  <si>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</si>
  <si>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</si>
  <si>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</si>
  <si>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</si>
  <si>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</si>
  <si>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</si>
  <si>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</si>
  <si>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</si>
  <si>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</si>
  <si>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</si>
  <si>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</si>
  <si>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</si>
  <si>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</si>
  <si>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</si>
  <si>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</si>
  <si>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</si>
  <si>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</si>
  <si>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</si>
  <si>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</si>
  <si>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</si>
  <si>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</si>
  <si>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</si>
  <si>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</si>
  <si>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</si>
  <si>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</si>
  <si>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</si>
  <si>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</si>
  <si>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</si>
  <si>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</si>
  <si>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</si>
  <si>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</si>
  <si>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</si>
  <si>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</si>
  <si>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</si>
  <si>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</si>
  <si>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</si>
  <si>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</si>
  <si>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</si>
  <si>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</si>
  <si>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</si>
  <si>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</si>
  <si>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</si>
  <si>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</si>
  <si>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</si>
  <si>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</si>
  <si>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</si>
  <si>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</si>
  <si>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</si>
  <si>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</si>
  <si>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</si>
  <si>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</si>
  <si>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</si>
  <si>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</si>
  <si>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</si>
  <si>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</si>
  <si>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</si>
  <si>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</si>
  <si>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</si>
  <si>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</si>
  <si>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</si>
  <si>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</si>
  <si>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</si>
  <si>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</si>
  <si>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</si>
  <si>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</si>
  <si>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</si>
  <si>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</si>
  <si>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</si>
  <si>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</si>
  <si>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</si>
  <si>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</si>
  <si>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</si>
  <si>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</si>
  <si>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</si>
  <si>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</si>
  <si>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</si>
  <si>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</si>
  <si>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</si>
  <si>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</si>
  <si>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</si>
  <si>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</si>
  <si>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</si>
  <si>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</si>
  <si>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</si>
  <si>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</si>
  <si>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</si>
  <si>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</si>
  <si>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</si>
  <si>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</si>
  <si>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</si>
  <si>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</si>
  <si>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</si>
  <si>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</si>
  <si>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</si>
  <si>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</si>
  <si>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</si>
  <si>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</si>
  <si>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</si>
  <si>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</si>
  <si>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</si>
  <si>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</si>
  <si>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</si>
  <si>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</si>
  <si>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</si>
  <si>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</si>
  <si>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</si>
  <si>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</si>
  <si>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</si>
  <si>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</si>
  <si>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</si>
  <si>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</si>
  <si>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</si>
  <si>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</si>
  <si>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</si>
  <si>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</si>
  <si>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</si>
  <si>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</si>
  <si>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</si>
  <si>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</si>
  <si>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</si>
  <si>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</si>
  <si>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</si>
  <si>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</si>
  <si>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</si>
  <si>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</si>
  <si>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</si>
  <si>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</si>
  <si>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</si>
  <si>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</si>
  <si>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</si>
  <si>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</si>
  <si>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</si>
  <si>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</si>
  <si>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</si>
  <si>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</si>
  <si>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</si>
  <si>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</si>
  <si>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</si>
  <si>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</si>
  <si>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</si>
  <si>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</si>
  <si>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</si>
  <si>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</si>
  <si>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</si>
  <si>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</si>
  <si>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</si>
  <si>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</si>
  <si>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</si>
  <si>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</si>
  <si>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</si>
  <si>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</si>
  <si>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</si>
  <si>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</si>
  <si>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</si>
  <si>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</si>
  <si>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</si>
  <si>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</si>
  <si>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</si>
  <si>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</si>
  <si>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</si>
  <si>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</si>
  <si>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</si>
  <si>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</si>
  <si>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</si>
  <si>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</si>
  <si>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</si>
  <si>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</si>
  <si>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</si>
  <si>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</si>
  <si>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</si>
  <si>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</si>
  <si>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</si>
  <si>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</si>
  <si>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</si>
  <si>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</si>
  <si>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</si>
  <si>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</si>
  <si>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</si>
  <si>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</si>
  <si>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</si>
  <si>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</si>
  <si>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</si>
  <si>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</si>
  <si>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</si>
  <si>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</si>
  <si>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</si>
  <si>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</si>
  <si>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</si>
  <si>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</si>
  <si>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</si>
  <si>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</si>
  <si>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</si>
  <si>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</si>
  <si>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</si>
  <si>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</si>
  <si>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</si>
  <si>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</si>
  <si>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</si>
  <si>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</si>
  <si>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</si>
  <si>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</si>
  <si>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</si>
  <si>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</si>
  <si>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</si>
  <si>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</si>
  <si>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</si>
  <si>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</si>
  <si>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</si>
  <si>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</si>
  <si>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</si>
  <si>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</si>
  <si>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</si>
  <si>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</si>
  <si>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</si>
  <si>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</si>
  <si>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</si>
  <si>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</si>
  <si>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</si>
  <si>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</si>
  <si>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</si>
  <si>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</si>
  <si>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</si>
  <si>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</si>
  <si>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</si>
  <si>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</si>
  <si>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</si>
  <si>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</si>
  <si>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</si>
  <si>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</si>
  <si>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</si>
  <si>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</si>
  <si>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</si>
  <si>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</si>
  <si>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</si>
  <si>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</si>
  <si>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</si>
  <si>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</si>
  <si>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</si>
  <si>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</si>
  <si>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</si>
  <si>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</si>
  <si>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</si>
  <si>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</si>
  <si>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</si>
  <si>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</si>
  <si>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</si>
  <si>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</si>
  <si>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</si>
  <si>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</si>
  <si>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</si>
  <si>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</si>
  <si>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</si>
  <si>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</si>
  <si>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</si>
  <si>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</si>
  <si>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</si>
  <si>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</si>
  <si>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</si>
  <si>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</si>
  <si>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</si>
  <si>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</si>
  <si>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</si>
  <si>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</si>
  <si>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</si>
  <si>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</si>
  <si>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</si>
  <si>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</si>
  <si>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</si>
  <si>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</si>
  <si>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</si>
  <si>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</si>
  <si>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</si>
  <si>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</si>
  <si>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</si>
  <si>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</si>
  <si>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</si>
  <si>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</si>
  <si>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</si>
  <si>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</si>
  <si>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</si>
  <si>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</si>
  <si>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</si>
  <si>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</si>
  <si>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</si>
  <si>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</si>
  <si>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</si>
  <si>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</si>
  <si>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</si>
  <si>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</si>
  <si>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</si>
  <si>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</si>
  <si>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</si>
  <si>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</si>
  <si>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</si>
  <si>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</si>
  <si>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</si>
  <si>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</si>
  <si>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</si>
  <si>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</si>
  <si>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</si>
  <si>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</si>
  <si>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</si>
  <si>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</si>
  <si>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</si>
  <si>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</si>
  <si>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</si>
  <si>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</si>
  <si>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</si>
  <si>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</si>
  <si>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</si>
  <si>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</si>
  <si>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</si>
  <si>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</si>
  <si>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</si>
  <si>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</si>
  <si>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</si>
  <si>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</si>
  <si>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</si>
  <si>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</si>
  <si>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</si>
  <si>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</si>
  <si>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</si>
  <si>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</si>
  <si>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</si>
  <si>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</si>
  <si>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</si>
  <si>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</si>
  <si>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</si>
  <si>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</si>
  <si>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</si>
  <si>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</si>
  <si>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</si>
  <si>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</si>
  <si>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</si>
  <si>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</si>
  <si>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</si>
  <si>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</si>
  <si>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</si>
  <si>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</si>
  <si>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</si>
  <si>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</si>
  <si>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</si>
  <si>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</si>
  <si>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</si>
  <si>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</si>
  <si>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</si>
  <si>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</si>
  <si>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</si>
  <si>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</si>
  <si>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</si>
  <si>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</si>
  <si>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</si>
  <si>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</si>
  <si>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</si>
  <si>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</si>
  <si>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</si>
  <si>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</si>
  <si>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</si>
  <si>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</si>
  <si>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</si>
  <si>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</si>
  <si>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</si>
  <si>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</si>
  <si>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</si>
  <si>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</si>
  <si>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</si>
  <si>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</si>
  <si>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</si>
  <si>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</si>
  <si>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</si>
  <si>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</si>
  <si>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</si>
  <si>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</si>
  <si>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</si>
  <si>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</si>
  <si>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</si>
  <si>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</si>
  <si>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</si>
  <si>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</si>
  <si>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</si>
  <si>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</si>
  <si>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</si>
  <si>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</si>
  <si>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</si>
  <si>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</si>
  <si>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</si>
  <si>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</si>
  <si>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</si>
  <si>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</si>
  <si>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</si>
  <si>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</si>
  <si>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</si>
  <si>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</si>
  <si>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</si>
  <si>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</si>
  <si>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</si>
  <si>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</si>
  <si>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</si>
  <si>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</si>
  <si>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</si>
  <si>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</si>
  <si>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</si>
  <si>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</si>
  <si>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</si>
  <si>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</si>
  <si>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</si>
  <si>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</si>
  <si>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</si>
  <si>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</si>
  <si>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</si>
  <si>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</si>
  <si>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</si>
  <si>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</si>
  <si>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</si>
  <si>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</si>
  <si>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</si>
  <si>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</si>
  <si>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</si>
  <si>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</si>
  <si>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</si>
  <si>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</si>
  <si>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</si>
  <si>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</si>
  <si>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</si>
  <si>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</si>
  <si>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</si>
  <si>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</si>
  <si>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</si>
  <si>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</si>
  <si>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</si>
  <si>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</si>
  <si>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</si>
  <si>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</si>
  <si>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</si>
  <si>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</si>
  <si>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</si>
  <si>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</si>
  <si>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</si>
  <si>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</si>
  <si>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</si>
  <si>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</si>
  <si>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</si>
  <si>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</si>
  <si>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</si>
  <si>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</si>
  <si>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</si>
  <si>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</si>
  <si>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</si>
  <si>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</si>
  <si>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</si>
  <si>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</si>
  <si>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</si>
  <si>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</si>
  <si>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</si>
  <si>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</si>
  <si>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</si>
  <si>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</si>
  <si>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</si>
  <si>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</si>
  <si>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</si>
  <si>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</si>
  <si>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</si>
  <si>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</si>
  <si>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</si>
  <si>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</si>
  <si>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</si>
  <si>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</si>
  <si>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</si>
  <si>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</si>
  <si>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</si>
  <si>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</si>
  <si>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</si>
  <si>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</si>
  <si>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</si>
  <si>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</si>
  <si>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</si>
  <si>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</si>
  <si>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</si>
  <si>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</si>
  <si>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</si>
  <si>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</si>
  <si>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</si>
  <si>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</si>
  <si>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</si>
  <si>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</si>
  <si>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</si>
  <si>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</si>
  <si>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</si>
  <si>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</si>
  <si>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</si>
  <si>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</si>
  <si>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</si>
  <si>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</si>
  <si>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</si>
  <si>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</si>
  <si>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</si>
  <si>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</si>
  <si>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</si>
  <si>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</si>
  <si>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</si>
  <si>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</si>
  <si>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</si>
  <si>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</si>
  <si>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</si>
  <si>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</si>
  <si>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</si>
  <si>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</si>
  <si>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</si>
  <si>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</si>
  <si>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</si>
  <si>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</si>
  <si>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</si>
  <si>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</si>
  <si>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</si>
  <si>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</si>
  <si>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</si>
  <si>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</si>
  <si>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</si>
  <si>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</si>
  <si>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</si>
  <si>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</si>
  <si>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</si>
  <si>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</si>
  <si>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</si>
  <si>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</si>
  <si>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</si>
  <si>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</si>
  <si>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</si>
  <si>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</si>
  <si>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</si>
  <si>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</si>
  <si>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</si>
  <si>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</si>
  <si>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</si>
  <si>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</si>
  <si>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</si>
  <si>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</si>
  <si>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</si>
  <si>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</si>
  <si>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</si>
  <si>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</si>
  <si>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</si>
  <si>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</si>
  <si>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</si>
  <si>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</si>
  <si>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</si>
  <si>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</si>
  <si>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</si>
  <si>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</si>
  <si>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</si>
  <si>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</si>
  <si>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</si>
  <si>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</si>
  <si>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</si>
  <si>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</si>
  <si>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</si>
  <si>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</si>
  <si>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</si>
  <si>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</si>
  <si>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</si>
  <si>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</si>
  <si>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</si>
  <si>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</si>
  <si>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</si>
  <si>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</si>
  <si>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</si>
  <si>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</si>
  <si>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</si>
  <si>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</si>
  <si>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</si>
  <si>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</si>
  <si>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</si>
  <si>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</si>
  <si>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</si>
  <si>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</si>
  <si>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</si>
  <si>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</si>
  <si>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</si>
  <si>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</si>
  <si>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</si>
  <si>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</si>
  <si>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</si>
  <si>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</si>
  <si>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</si>
  <si>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</si>
  <si>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</si>
  <si>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</si>
  <si>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</si>
  <si>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</si>
  <si>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</si>
  <si>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</si>
  <si>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</si>
  <si>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</si>
  <si>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</si>
  <si>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</si>
  <si>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</si>
  <si>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</si>
  <si>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</si>
  <si>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</si>
  <si>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</si>
  <si>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</si>
  <si>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</si>
  <si>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</si>
  <si>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</si>
  <si>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</si>
  <si>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</si>
  <si>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</si>
  <si>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</si>
  <si>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</si>
  <si>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</si>
  <si>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</si>
  <si>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</si>
  <si>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</si>
  <si>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</si>
  <si>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</si>
  <si>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</si>
  <si>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</si>
  <si>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</si>
  <si>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</si>
  <si>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</si>
  <si>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</si>
  <si>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</si>
  <si>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</si>
  <si>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</si>
  <si>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</si>
  <si>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</si>
  <si>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</si>
  <si>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</si>
  <si>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</si>
  <si>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</si>
  <si>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</si>
  <si>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</si>
  <si>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</si>
  <si>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</si>
  <si>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</si>
  <si>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</si>
  <si>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</si>
  <si>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</si>
  <si>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</si>
  <si>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</si>
  <si>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</si>
  <si>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</si>
  <si>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</si>
  <si>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</si>
  <si>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</si>
  <si>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</si>
  <si>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</si>
  <si>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</si>
  <si>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</si>
  <si>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</si>
  <si>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</si>
  <si>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</si>
  <si>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</si>
  <si>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</si>
  <si>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</si>
  <si>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</si>
  <si>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</si>
  <si>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</si>
  <si>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</si>
  <si>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</si>
  <si>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</si>
  <si>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</si>
  <si>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</si>
  <si>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</si>
  <si>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</si>
  <si>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</si>
  <si>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</si>
  <si>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</si>
  <si>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</si>
  <si>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</si>
  <si>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</si>
  <si>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</si>
  <si>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</si>
  <si>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</si>
  <si>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</si>
  <si>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</si>
  <si>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</si>
  <si>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</si>
  <si>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</si>
  <si>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</si>
  <si>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</si>
  <si>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</si>
  <si>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</si>
  <si>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</si>
  <si>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</si>
  <si>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</si>
  <si>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</si>
  <si>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</si>
  <si>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</si>
  <si>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</si>
  <si>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</si>
  <si>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</si>
  <si>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</si>
  <si>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</si>
  <si>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</si>
  <si>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</si>
  <si>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</si>
  <si>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</si>
  <si>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</si>
  <si>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</si>
  <si>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</si>
  <si>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</si>
  <si>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</si>
  <si>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</si>
  <si>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</si>
  <si>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</si>
  <si>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</si>
  <si>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</si>
  <si>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</si>
  <si>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</si>
  <si>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</si>
  <si>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</si>
  <si>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</si>
  <si>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</si>
  <si>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</si>
  <si>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</si>
  <si>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</si>
  <si>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</si>
  <si>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</si>
  <si>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</si>
  <si>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</si>
  <si>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</si>
  <si>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</si>
  <si>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</si>
  <si>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</si>
  <si>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</si>
  <si>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</si>
  <si>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</si>
  <si>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</si>
  <si>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</si>
  <si>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</si>
  <si>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</si>
  <si>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</si>
  <si>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</si>
  <si>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</si>
  <si>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</si>
  <si>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</si>
  <si>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</si>
  <si>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</si>
  <si>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</si>
  <si>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</si>
  <si>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</si>
  <si>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</si>
  <si>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</si>
  <si>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</si>
  <si>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</si>
  <si>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</si>
  <si>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</si>
  <si>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</si>
  <si>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</si>
  <si>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</si>
  <si>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</si>
  <si>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</si>
  <si>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</si>
  <si>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</si>
  <si>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</si>
  <si>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</si>
  <si>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</si>
  <si>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</si>
  <si>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</si>
  <si>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</si>
  <si>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</si>
  <si>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</si>
  <si>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</si>
  <si>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</si>
  <si>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</si>
  <si>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</si>
  <si>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</si>
  <si>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</si>
  <si>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</si>
  <si>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</si>
  <si>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</si>
  <si>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</si>
  <si>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</si>
  <si>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</si>
  <si>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</si>
  <si>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</si>
  <si>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</si>
  <si>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</si>
  <si>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</si>
  <si>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</si>
  <si>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</si>
  <si>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</si>
  <si>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</si>
  <si>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</si>
  <si>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</si>
  <si>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</si>
  <si>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</si>
  <si>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</si>
  <si>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</si>
  <si>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</si>
  <si>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</si>
  <si>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</si>
  <si>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</si>
  <si>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</si>
  <si>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</si>
  <si>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</si>
  <si>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</si>
  <si>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</si>
  <si>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</si>
  <si>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</si>
  <si>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</si>
  <si>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</si>
  <si>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</si>
  <si>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</si>
  <si>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</si>
  <si>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</si>
  <si>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</si>
  <si>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</si>
  <si>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</si>
  <si>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</si>
  <si>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</si>
  <si>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</si>
  <si>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</si>
  <si>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</si>
  <si>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</si>
  <si>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</si>
  <si>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</si>
  <si>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</si>
  <si>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</si>
  <si>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</si>
  <si>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</si>
  <si>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</si>
  <si>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</si>
  <si>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</si>
  <si>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</si>
  <si>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</si>
  <si>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</si>
  <si>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</si>
  <si>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</si>
  <si>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</si>
  <si>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</si>
  <si>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</si>
  <si>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</si>
  <si>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</si>
  <si>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</si>
  <si>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</si>
  <si>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</si>
  <si>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</si>
  <si>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</si>
  <si>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</si>
  <si>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</si>
  <si>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</si>
  <si>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</si>
  <si>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</si>
  <si>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</si>
  <si>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</si>
  <si>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</si>
  <si>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</si>
  <si>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</si>
  <si>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</si>
  <si>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</si>
  <si>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</si>
  <si>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</si>
  <si>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</si>
  <si>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</si>
  <si>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</si>
  <si>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</si>
  <si>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</si>
  <si>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</si>
  <si>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</si>
  <si>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</si>
  <si>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</si>
  <si>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</si>
  <si>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</si>
  <si>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</si>
  <si>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</si>
  <si>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</si>
  <si>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</si>
  <si>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</si>
  <si>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</si>
  <si>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</si>
  <si>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</si>
  <si>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</si>
  <si>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</si>
  <si>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</si>
  <si>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</si>
  <si>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</si>
  <si>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</si>
  <si>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</si>
  <si>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</si>
  <si>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</si>
  <si>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</si>
  <si>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</si>
  <si>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</si>
  <si>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</si>
  <si>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</si>
  <si>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</si>
  <si>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</si>
  <si>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</si>
  <si>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</si>
  <si>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</si>
  <si>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</si>
  <si>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</si>
  <si>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</si>
  <si>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</si>
  <si>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</si>
  <si>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</si>
  <si>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</si>
  <si>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</si>
  <si>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</si>
  <si>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</si>
  <si>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</si>
  <si>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</si>
  <si>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</si>
  <si>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</si>
  <si>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</si>
  <si>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</si>
  <si>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</si>
  <si>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</si>
  <si>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</si>
  <si>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</si>
  <si>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</si>
  <si>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</si>
  <si>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</si>
  <si>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</si>
  <si>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</si>
  <si>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</si>
  <si>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</si>
  <si>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</si>
  <si>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</si>
  <si>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</si>
  <si>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</si>
  <si>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</si>
  <si>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</si>
  <si>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</si>
  <si>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</si>
  <si>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</si>
  <si>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</si>
  <si>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</si>
  <si>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</si>
  <si>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</si>
  <si>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</si>
  <si>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</si>
  <si>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</si>
  <si>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</si>
  <si>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</si>
  <si>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</si>
  <si>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</si>
  <si>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</si>
  <si>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</si>
  <si>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</si>
  <si>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</si>
  <si>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</si>
  <si>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</si>
  <si>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</si>
  <si>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</si>
  <si>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</si>
  <si>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</si>
  <si>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</si>
  <si>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</si>
  <si>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</si>
  <si>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</si>
  <si>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</si>
  <si>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</si>
  <si>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</si>
  <si>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</si>
  <si>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</si>
  <si>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</si>
  <si>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</si>
  <si>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</si>
  <si>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</si>
  <si>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</si>
  <si>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</si>
  <si>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</si>
  <si>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</si>
  <si>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</si>
  <si>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</si>
  <si>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</si>
  <si>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</si>
  <si>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</si>
  <si>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</si>
  <si>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</si>
  <si>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</si>
  <si>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</si>
  <si>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</si>
  <si>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</si>
  <si>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</si>
  <si>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</si>
  <si>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</si>
  <si>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</si>
  <si>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</si>
  <si>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</si>
  <si>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</si>
  <si>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</si>
  <si>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</si>
  <si>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</si>
  <si>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</si>
  <si>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</si>
  <si>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</si>
  <si>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</si>
  <si>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</si>
  <si>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</si>
  <si>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</si>
  <si>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</si>
  <si>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</si>
  <si>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</si>
  <si>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</si>
  <si>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</si>
  <si>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</si>
  <si>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</si>
  <si>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</si>
  <si>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</si>
  <si>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</si>
  <si>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</si>
  <si>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</si>
  <si>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</si>
  <si>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</si>
  <si>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</si>
  <si>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</si>
  <si>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</si>
  <si>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</si>
  <si>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</si>
  <si>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</si>
  <si>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</si>
  <si>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</si>
  <si>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</si>
  <si>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</si>
  <si>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</si>
  <si>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</si>
  <si>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</si>
  <si>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</si>
  <si>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</si>
  <si>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</si>
  <si>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</si>
  <si>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</si>
  <si>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</si>
  <si>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</si>
  <si>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</si>
  <si>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</si>
  <si>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</si>
  <si>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</si>
  <si>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</si>
  <si>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</si>
  <si>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</si>
  <si>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</si>
  <si>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</si>
  <si>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</si>
  <si>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</si>
  <si>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</si>
  <si>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</si>
  <si>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</si>
  <si>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</si>
  <si>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</si>
  <si>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</si>
  <si>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</si>
  <si>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</si>
  <si>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</si>
  <si>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</si>
  <si>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</si>
  <si>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</si>
  <si>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</si>
  <si>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</si>
  <si>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</si>
  <si>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</si>
  <si>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</si>
  <si>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</si>
  <si>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</si>
  <si>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</si>
  <si>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</si>
  <si>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</si>
  <si>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</si>
  <si>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</si>
  <si>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</si>
  <si>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</si>
  <si>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</si>
  <si>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</si>
  <si>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</si>
  <si>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</si>
  <si>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</si>
  <si>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</si>
  <si>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</si>
  <si>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</si>
  <si>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</si>
  <si>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</si>
  <si>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</si>
  <si>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</si>
  <si>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</si>
  <si>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</si>
  <si>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</si>
  <si>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</si>
  <si>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</si>
  <si>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</si>
  <si>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</si>
  <si>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</si>
  <si>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</si>
  <si>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</si>
  <si>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</si>
  <si>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</si>
  <si>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</si>
  <si>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</si>
  <si>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</si>
  <si>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</si>
  <si>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</si>
  <si>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</si>
  <si>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</si>
  <si>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</si>
  <si>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</si>
  <si>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</si>
  <si>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</si>
  <si>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</si>
  <si>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</si>
  <si>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</si>
  <si>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</si>
  <si>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</si>
  <si>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</si>
  <si>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</si>
  <si>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</si>
  <si>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</si>
  <si>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</si>
  <si>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</si>
  <si>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</si>
  <si>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</si>
  <si>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</si>
  <si>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</si>
  <si>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</si>
  <si>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</si>
  <si>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</si>
  <si>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</si>
  <si>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</si>
  <si>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</si>
  <si>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</si>
  <si>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</si>
  <si>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</si>
  <si>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</si>
  <si>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</si>
  <si>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</si>
  <si>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</si>
  <si>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</si>
  <si>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</si>
  <si>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</si>
  <si>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</si>
  <si>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</si>
  <si>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</si>
  <si>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</si>
  <si>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</si>
  <si>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</si>
  <si>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</si>
  <si>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</si>
  <si>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</si>
  <si>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</si>
  <si>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</si>
  <si>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</si>
  <si>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</si>
  <si>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</si>
  <si>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</si>
  <si>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</si>
  <si>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</si>
  <si>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</si>
  <si>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</si>
  <si>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</si>
  <si>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</si>
  <si>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</si>
  <si>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</si>
  <si>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</si>
  <si>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</si>
  <si>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</si>
  <si>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</si>
  <si>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</si>
  <si>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</si>
  <si>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</si>
  <si>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</si>
  <si>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</si>
  <si>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</si>
  <si>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</si>
  <si>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</si>
  <si>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</si>
  <si>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</si>
  <si>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</si>
  <si>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</si>
  <si>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</si>
  <si>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</si>
  <si>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</si>
  <si>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</si>
  <si>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</si>
  <si>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</si>
  <si>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</si>
  <si>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</si>
  <si>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</si>
  <si>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</si>
  <si>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</si>
  <si>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</si>
  <si>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</si>
  <si>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</si>
  <si>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</si>
  <si>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</si>
  <si>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</si>
  <si>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</si>
  <si>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</si>
  <si>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</si>
  <si>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</si>
  <si>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</si>
  <si>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</si>
  <si>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</si>
  <si>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</si>
  <si>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</si>
  <si>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</si>
  <si>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</si>
  <si>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</si>
  <si>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</si>
  <si>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</si>
  <si>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</si>
  <si>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</si>
  <si>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</si>
  <si>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</si>
  <si>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</si>
  <si>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</si>
  <si>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</si>
  <si>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</si>
  <si>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</si>
  <si>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</si>
  <si>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</si>
  <si>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</si>
  <si>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</si>
  <si>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</si>
  <si>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</si>
  <si>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</si>
  <si>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</si>
  <si>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</si>
  <si>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</si>
  <si>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</si>
  <si>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</si>
  <si>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Basler Electric</t>
  </si>
  <si>
    <t>John Mollett</t>
  </si>
  <si>
    <t>johnmollett@basler.com</t>
  </si>
  <si>
    <t>618-654-2341 x412</t>
  </si>
  <si>
    <t>Director of Corporate Quality</t>
  </si>
  <si>
    <t>Basler Electric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</si>
  <si>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https://www.basler.com/About-Us/Supplier-Information</t>
  </si>
  <si>
    <t>We request a EMRT but also use material declarations, supplier statements, and Form SD.</t>
  </si>
  <si>
    <t>SungEel HiTech Co.,Ltd.</t>
  </si>
  <si>
    <t>Anhui Hanrui New Materials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</si>
</sst>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76" fillId="45" borderId="56" xfId="497" applyFont="1" applyFill="1" applyBorder="1" applyAlignment="1" applyProtection="1">
      <alignment horizontal="left" vertical="center" wrapText="1"/>
      <protection locked="0"/>
    </xf>
  </cellXfs>
  <cellStyles count="831">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342">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asler.com/About-Us/Supplier-Information" TargetMode="External"/><Relationship Id="rId2" Type="http://schemas.openxmlformats.org/officeDocument/2006/relationships/hyperlink" Target="mailto:johnmollett@basler.com" TargetMode="External"/><Relationship Id="rId1" Type="http://schemas.openxmlformats.org/officeDocument/2006/relationships/hyperlink" Target="mailto:johnmollett@basl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22"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70" zoomScaleNormal="70" workbookViewId="0">
      <selection activeCell="G137" sqref="G137:J13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6"/>
      <c r="B1" s="437"/>
      <c r="C1" s="437"/>
      <c r="D1" s="437"/>
      <c r="E1" s="437"/>
      <c r="F1" s="437"/>
      <c r="G1" s="437"/>
      <c r="H1" s="437"/>
      <c r="I1" s="437"/>
      <c r="J1" s="437"/>
      <c r="K1" s="438"/>
      <c r="L1" s="102"/>
      <c r="P1" s="2"/>
      <c r="Q1" s="2"/>
      <c r="R1" s="2"/>
      <c r="S1" s="2"/>
      <c r="T1" s="2"/>
      <c r="U1" s="2"/>
      <c r="V1" s="2"/>
      <c r="W1" s="2"/>
      <c r="X1" s="2"/>
      <c r="Y1" s="2"/>
      <c r="Z1" s="2"/>
      <c r="AA1" s="2"/>
      <c r="AB1" s="2"/>
      <c r="AC1" s="2"/>
      <c r="AD1" s="2"/>
      <c r="AE1" s="2"/>
      <c r="AF1" s="2"/>
      <c r="AG1" s="2"/>
      <c r="AH1" s="2"/>
    </row>
    <row r="2" spans="1:34" ht="81.75" customHeight="1">
      <c r="A2" s="27"/>
      <c r="B2" s="283"/>
      <c r="C2" s="28"/>
      <c r="D2" s="439" t="str">
        <f ca="1">OFFSET(L!$C$1,MATCH("Declaration"&amp;ADDRESS(ROW(),COLUMN(),4),L!$A:$A,0)-1,SL,,)</f>
        <v>Extended Mineral Reporting Template (EMRT)</v>
      </c>
      <c r="E2" s="440"/>
      <c r="F2" s="440"/>
      <c r="G2" s="440"/>
      <c r="H2" s="440"/>
      <c r="I2" s="440"/>
      <c r="J2" s="44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0"/>
      <c r="F3" s="421"/>
      <c r="G3" s="421"/>
      <c r="H3" s="421"/>
      <c r="I3" s="421"/>
      <c r="J3" s="190" t="s">
        <v>19342</v>
      </c>
      <c r="K3" s="29"/>
      <c r="L3" s="102"/>
      <c r="P3" s="38">
        <f>MATCH($D$3,LN,0)</f>
        <v>1</v>
      </c>
    </row>
    <row r="4" spans="1:34" ht="16.2">
      <c r="A4" s="27"/>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9"/>
      <c r="L6" s="104" t="s">
        <v>18</v>
      </c>
      <c r="P6" s="2"/>
      <c r="Q6" s="2"/>
      <c r="R6" s="2"/>
      <c r="S6" s="2"/>
      <c r="T6" s="2"/>
      <c r="U6" s="2"/>
      <c r="V6" s="2"/>
      <c r="W6" s="2"/>
      <c r="X6" s="2"/>
      <c r="Y6" s="2"/>
      <c r="Z6" s="2"/>
      <c r="AA6" s="2"/>
      <c r="AB6" s="2"/>
      <c r="AC6" s="2"/>
      <c r="AD6" s="2"/>
      <c r="AE6" s="2"/>
      <c r="AF6" s="2"/>
      <c r="AG6" s="2"/>
      <c r="AH6" s="2"/>
    </row>
    <row r="7" spans="1:34" ht="16.2">
      <c r="A7" s="27"/>
      <c r="B7" s="450" t="str">
        <f ca="1">OFFSET(L!$C$1,MATCH("Declaration"&amp;ADDRESS(ROW(),COLUMN(),4),L!$A:$A,0)-1,SL,,)</f>
        <v>Company Information</v>
      </c>
      <c r="C7" s="450"/>
      <c r="D7" s="450"/>
      <c r="E7" s="450"/>
      <c r="F7" s="450"/>
      <c r="G7" s="450"/>
      <c r="H7" s="450"/>
      <c r="I7" s="450"/>
      <c r="J7" s="45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2" t="s">
        <v>20051</v>
      </c>
      <c r="E8" s="443"/>
      <c r="F8" s="443"/>
      <c r="G8" s="443"/>
      <c r="H8" s="443"/>
      <c r="I8" s="443"/>
      <c r="J8" s="444"/>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6" t="s">
        <v>19</v>
      </c>
      <c r="E9" s="427"/>
      <c r="F9" s="427"/>
      <c r="G9" s="42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1" t="str">
        <f ca="1">OFFSET(L!$C$1,MATCH("Declaration"&amp;ADDRESS(ROW(),COLUMN(),4)&amp;LEFT($D$9,1),L!$A:$A,0)-1,SL,,)</f>
        <v>Description of Scope:</v>
      </c>
      <c r="C10" s="112"/>
      <c r="D10" s="446"/>
      <c r="E10" s="447"/>
      <c r="F10" s="447"/>
      <c r="G10" s="447"/>
      <c r="H10" s="447"/>
      <c r="I10" s="447"/>
      <c r="J10" s="448"/>
      <c r="K10" s="29"/>
      <c r="L10" s="104"/>
      <c r="Q10" s="2"/>
      <c r="R10" s="2"/>
      <c r="S10" s="2"/>
      <c r="T10" s="2"/>
      <c r="U10" s="2"/>
      <c r="V10" s="2"/>
      <c r="W10" s="2"/>
      <c r="X10" s="2"/>
      <c r="Y10" s="2"/>
      <c r="Z10" s="2"/>
      <c r="AA10" s="2"/>
      <c r="AB10" s="2"/>
      <c r="AC10" s="2"/>
      <c r="AD10" s="2"/>
      <c r="AE10" s="2"/>
      <c r="AF10" s="2"/>
      <c r="AG10" s="2"/>
      <c r="AH10" s="2"/>
    </row>
    <row r="11" spans="1:34" ht="16.2">
      <c r="A11" s="31"/>
      <c r="B11" s="452"/>
      <c r="C11" s="112"/>
      <c r="D11" s="453" t="str">
        <f ca="1">IF(D9=Q9,OFFSET(L!$C$1,MATCH("Declaration"&amp;ADDRESS(ROW(),COLUMN(),4),L!$A:$A,0)-1,SL,,),"")</f>
        <v/>
      </c>
      <c r="E11" s="454"/>
      <c r="F11" s="454"/>
      <c r="G11" s="454"/>
      <c r="H11" s="454"/>
      <c r="I11" s="454"/>
      <c r="J11" s="455"/>
      <c r="K11" s="29"/>
      <c r="L11" s="104"/>
      <c r="Q11" s="2"/>
      <c r="R11" s="2"/>
      <c r="S11" s="2"/>
      <c r="T11" s="2"/>
      <c r="U11" s="2"/>
      <c r="V11" s="2"/>
      <c r="W11" s="2"/>
      <c r="X11" s="2"/>
      <c r="Y11" s="2"/>
      <c r="Z11" s="2"/>
      <c r="AA11" s="368" t="s">
        <v>19145</v>
      </c>
      <c r="AB11" s="2"/>
      <c r="AC11" s="2"/>
      <c r="AD11" s="2"/>
      <c r="AE11" s="2"/>
      <c r="AF11" s="2"/>
      <c r="AG11" s="2"/>
      <c r="AH11" s="2"/>
    </row>
    <row r="12" spans="1:34" ht="16.2">
      <c r="A12" s="31"/>
      <c r="B12" s="456" t="str">
        <f ca="1">OFFSET(L!$C$1,MATCH("Declaration"&amp;ADDRESS(ROW(),COLUMN(),4),L!$A:$A,0)-1,SL,,)</f>
        <v>Select Minerals/Metals in Scope (*):</v>
      </c>
      <c r="C12" s="112"/>
      <c r="D12" s="372" t="s">
        <v>40</v>
      </c>
      <c r="E12" s="458" t="s">
        <v>19147</v>
      </c>
      <c r="F12" s="45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7" t="e">
        <f ca="1">OFFSET(L!$C$1,MATCH("Declaration"&amp;ADDRESS(ROW(),COLUMN(),4),L!$A:$A,0)-1,SL,,)</f>
        <v>#N/A</v>
      </c>
      <c r="C13" s="112"/>
      <c r="D13" s="372" t="s">
        <v>19149</v>
      </c>
      <c r="E13" s="458" t="s">
        <v>41</v>
      </c>
      <c r="F13" s="45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6.2" hidden="1">
      <c r="A14" s="31"/>
      <c r="B14" s="460"/>
      <c r="C14" s="112"/>
      <c r="D14" s="298"/>
      <c r="E14" s="462"/>
      <c r="F14" s="46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6.2" hidden="1">
      <c r="A15" s="31"/>
      <c r="B15" s="461"/>
      <c r="C15" s="112"/>
      <c r="D15" s="298"/>
      <c r="E15" s="462"/>
      <c r="F15" s="46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23"/>
      <c r="E16" s="424"/>
      <c r="F16" s="424"/>
      <c r="G16" s="424"/>
      <c r="H16" s="424"/>
      <c r="I16" s="424"/>
      <c r="J16" s="425"/>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23"/>
      <c r="E17" s="424"/>
      <c r="F17" s="424"/>
      <c r="G17" s="424"/>
      <c r="H17" s="424"/>
      <c r="I17" s="424"/>
      <c r="J17" s="425"/>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23"/>
      <c r="E18" s="424"/>
      <c r="F18" s="424"/>
      <c r="G18" s="424"/>
      <c r="H18" s="424"/>
      <c r="I18" s="424"/>
      <c r="J18" s="42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3" t="s">
        <v>20052</v>
      </c>
      <c r="E19" s="424"/>
      <c r="F19" s="424"/>
      <c r="G19" s="424"/>
      <c r="H19" s="424"/>
      <c r="I19" s="424"/>
      <c r="J19" s="425"/>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1" t="s">
        <v>20053</v>
      </c>
      <c r="E20" s="432"/>
      <c r="F20" s="432"/>
      <c r="G20" s="432"/>
      <c r="H20" s="432"/>
      <c r="I20" s="432"/>
      <c r="J20" s="43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3" t="s">
        <v>20054</v>
      </c>
      <c r="E21" s="424"/>
      <c r="F21" s="424"/>
      <c r="G21" s="424"/>
      <c r="H21" s="424"/>
      <c r="I21" s="424"/>
      <c r="J21" s="42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3" t="s">
        <v>20052</v>
      </c>
      <c r="E22" s="424"/>
      <c r="F22" s="424"/>
      <c r="G22" s="424"/>
      <c r="H22" s="424"/>
      <c r="I22" s="424"/>
      <c r="J22" s="425"/>
      <c r="K22" s="29"/>
      <c r="L22" s="98"/>
      <c r="Q22" s="2"/>
      <c r="R22" s="2"/>
      <c r="S22" s="2"/>
      <c r="T22" s="2"/>
      <c r="U22" s="2"/>
      <c r="V22" s="2"/>
      <c r="W22" s="2"/>
      <c r="X22" s="2"/>
      <c r="Y22" s="2"/>
      <c r="Z22" s="2"/>
      <c r="AA22" s="2">
        <f>10-COUNTIF(AA12:AA21,"")</f>
        <v>2</v>
      </c>
      <c r="AB22" s="2"/>
      <c r="AC22" s="2"/>
      <c r="AD22" s="2"/>
      <c r="AE22" s="2"/>
      <c r="AF22" s="2"/>
      <c r="AG22" s="2"/>
    </row>
    <row r="23" spans="1:33" ht="22.2">
      <c r="A23" s="31"/>
      <c r="B23" s="33" t="str">
        <f ca="1">OFFSET(L!$C$1,MATCH("Declaration"&amp;ADDRESS(ROW(),COLUMN(),4),L!$A:$A,0)-1,SL,,)</f>
        <v>Title - Authorizer:</v>
      </c>
      <c r="C23" s="67"/>
      <c r="D23" s="423" t="s">
        <v>20055</v>
      </c>
      <c r="E23" s="424"/>
      <c r="F23" s="424"/>
      <c r="G23" s="424"/>
      <c r="H23" s="424"/>
      <c r="I23" s="424"/>
      <c r="J23" s="425"/>
      <c r="K23" s="29"/>
      <c r="L23" s="98"/>
      <c r="P23" s="2"/>
      <c r="Q23" s="2"/>
      <c r="R23" s="2"/>
      <c r="S23" s="2"/>
      <c r="T23" s="2"/>
      <c r="U23" s="2"/>
      <c r="V23" s="2"/>
      <c r="W23" s="2"/>
      <c r="X23" s="2"/>
      <c r="Y23" s="2"/>
      <c r="Z23" s="2"/>
      <c r="AA23" s="2">
        <f>IF(AA22=0,0.1,AA22)</f>
        <v>2</v>
      </c>
      <c r="AB23" s="2"/>
      <c r="AC23" s="2"/>
      <c r="AD23" s="2"/>
      <c r="AE23" s="2"/>
      <c r="AF23" s="2"/>
      <c r="AG23" s="2"/>
    </row>
    <row r="24" spans="1:33" ht="22.2">
      <c r="A24" s="31"/>
      <c r="B24" s="33" t="str">
        <f ca="1">OFFSET(L!$C$1,MATCH("Declaration"&amp;ADDRESS(ROW(),COLUMN(),4),L!$A:$A,0)-1,SL,,)</f>
        <v>Email - Authorizer (*):</v>
      </c>
      <c r="C24" s="67"/>
      <c r="D24" s="431" t="s">
        <v>20053</v>
      </c>
      <c r="E24" s="432"/>
      <c r="F24" s="432"/>
      <c r="G24" s="432"/>
      <c r="H24" s="432"/>
      <c r="I24" s="432"/>
      <c r="J24" s="433"/>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3"/>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4">
        <v>45838</v>
      </c>
      <c r="E26" s="43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29"/>
      <c r="E27" s="42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0" t="str">
        <f ca="1">OFFSET(L!$C$1,MATCH("Declaration"&amp;ADDRESS(ROW(),COLUMN(),4),L!$A:$A,0)-1,SL,,)</f>
        <v>Answer the following questions 1 - 7 based on the declaration scope indicated above</v>
      </c>
      <c r="C28" s="430"/>
      <c r="D28" s="430"/>
      <c r="E28" s="430"/>
      <c r="F28" s="430"/>
      <c r="G28" s="430"/>
      <c r="H28" s="430"/>
      <c r="I28" s="430"/>
      <c r="J28" s="43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Mica(*)</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18" t="str">
        <f ca="1">D29</f>
        <v>Answer</v>
      </c>
      <c r="E41" s="418"/>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Mica(*)</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2">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8" t="str">
        <f ca="1">D29</f>
        <v>Answer</v>
      </c>
      <c r="E53" s="418"/>
      <c r="F53" s="14"/>
      <c r="G53" s="37" t="str">
        <f ca="1">G29</f>
        <v>Comments</v>
      </c>
      <c r="H53" s="422"/>
      <c r="I53" s="422"/>
      <c r="J53" s="422"/>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t="s">
        <v>25</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Mica(*)</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18" t="str">
        <f ca="1">D29</f>
        <v>Answer</v>
      </c>
      <c r="E65" s="41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Mica(*)</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8" t="str">
        <f ca="1">D29</f>
        <v>Answer</v>
      </c>
      <c r="E77" s="41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t="s">
        <v>27</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Mica(*)</v>
      </c>
      <c r="C79" s="28"/>
      <c r="D79" s="403" t="s">
        <v>27</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8" t="str">
        <f ca="1">D29</f>
        <v>Answer</v>
      </c>
      <c r="E89" s="418"/>
      <c r="F89" s="14"/>
      <c r="G89" s="37" t="str">
        <f ca="1">G29</f>
        <v>Comments</v>
      </c>
      <c r="H89" s="419"/>
      <c r="I89" s="419"/>
      <c r="J89" s="419"/>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t="s">
        <v>25</v>
      </c>
      <c r="E90" s="404"/>
      <c r="F90" s="40"/>
      <c r="G90" s="405" t="s">
        <v>20056</v>
      </c>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Mica(*)</v>
      </c>
      <c r="C91" s="6"/>
      <c r="D91" s="403" t="s">
        <v>25</v>
      </c>
      <c r="E91" s="404"/>
      <c r="F91" s="40"/>
      <c r="G91" s="405" t="s">
        <v>20056</v>
      </c>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8" t="str">
        <f ca="1">D29</f>
        <v>Answer</v>
      </c>
      <c r="E101" s="418"/>
      <c r="F101" s="14"/>
      <c r="G101" s="37" t="str">
        <f ca="1">G29</f>
        <v>Comments</v>
      </c>
      <c r="H101" s="419" t="str">
        <f>IF(Q115="(*)","Click here to enter smelter names","")</f>
        <v/>
      </c>
      <c r="I101" s="419"/>
      <c r="J101" s="41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Mica(*)</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7" t="str">
        <f ca="1">OFFSET(L!$C$1,MATCH("Declaration"&amp;ADDRESS(ROW(),COLUMN(),4),L!$A:$A,0)-1,SL,,)</f>
        <v>Answer the Following Questions at a Company Level</v>
      </c>
      <c r="C113" s="417"/>
      <c r="D113" s="417"/>
      <c r="E113" s="417"/>
      <c r="F113" s="417"/>
      <c r="G113" s="417"/>
      <c r="H113" s="417"/>
      <c r="I113" s="417"/>
      <c r="J113" s="417"/>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83" t="s">
        <v>20057</v>
      </c>
      <c r="H117" s="413"/>
      <c r="I117" s="413"/>
      <c r="J117" s="41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5"/>
      <c r="E119" s="415"/>
      <c r="F119" s="233"/>
      <c r="G119" s="416"/>
      <c r="H119" s="416"/>
      <c r="I119" s="416"/>
      <c r="J119" s="41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Mica(*)</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20058</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1" priority="307" stopIfTrue="1">
      <formula>IF($B$30="",TRUE)</formula>
    </cfRule>
  </conditionalFormatting>
  <conditionalFormatting sqref="B31">
    <cfRule type="expression" dxfId="340" priority="305">
      <formula>IF($B$31="",TRUE)</formula>
    </cfRule>
  </conditionalFormatting>
  <conditionalFormatting sqref="B32">
    <cfRule type="expression" dxfId="339" priority="304">
      <formula>IF($B$32="",TRUE)</formula>
    </cfRule>
  </conditionalFormatting>
  <conditionalFormatting sqref="B33">
    <cfRule type="expression" dxfId="338" priority="303">
      <formula>IF($B$33="",TRUE)</formula>
    </cfRule>
  </conditionalFormatting>
  <conditionalFormatting sqref="B34">
    <cfRule type="expression" dxfId="337" priority="302">
      <formula>IF($B$34="",TRUE)</formula>
    </cfRule>
  </conditionalFormatting>
  <conditionalFormatting sqref="B35">
    <cfRule type="expression" dxfId="336" priority="301">
      <formula>IF($B$35="",TRUE)</formula>
    </cfRule>
  </conditionalFormatting>
  <conditionalFormatting sqref="B36">
    <cfRule type="expression" dxfId="335" priority="300">
      <formula>IF($B$36="",TRUE)</formula>
    </cfRule>
  </conditionalFormatting>
  <conditionalFormatting sqref="B37">
    <cfRule type="expression" dxfId="334" priority="299">
      <formula>IF($B$37="",TRUE)</formula>
    </cfRule>
  </conditionalFormatting>
  <conditionalFormatting sqref="B38">
    <cfRule type="expression" dxfId="333" priority="298">
      <formula>IF($B$38="",TRUE)</formula>
    </cfRule>
  </conditionalFormatting>
  <conditionalFormatting sqref="B39">
    <cfRule type="expression" dxfId="332" priority="297">
      <formula>IF($B$39="",TRUE)</formula>
    </cfRule>
  </conditionalFormatting>
  <conditionalFormatting sqref="B42">
    <cfRule type="expression" dxfId="331" priority="279" stopIfTrue="1">
      <formula>IF($B$42="",TRUE)</formula>
    </cfRule>
  </conditionalFormatting>
  <conditionalFormatting sqref="B43">
    <cfRule type="expression" dxfId="330" priority="278" stopIfTrue="1">
      <formula>IF($B$43="",TRUE)</formula>
    </cfRule>
  </conditionalFormatting>
  <conditionalFormatting sqref="B44">
    <cfRule type="expression" dxfId="329" priority="277" stopIfTrue="1">
      <formula>IF($B$44="",TRUE)</formula>
    </cfRule>
  </conditionalFormatting>
  <conditionalFormatting sqref="B45">
    <cfRule type="expression" dxfId="328" priority="276" stopIfTrue="1">
      <formula>IF($B$45="",TRUE)</formula>
    </cfRule>
  </conditionalFormatting>
  <conditionalFormatting sqref="B46">
    <cfRule type="expression" dxfId="327" priority="275" stopIfTrue="1">
      <formula>IF($B$46="",TRUE)</formula>
    </cfRule>
  </conditionalFormatting>
  <conditionalFormatting sqref="B47">
    <cfRule type="expression" dxfId="326" priority="274" stopIfTrue="1">
      <formula>IF($B$47="",TRUE)</formula>
    </cfRule>
  </conditionalFormatting>
  <conditionalFormatting sqref="B48">
    <cfRule type="expression" dxfId="325" priority="273" stopIfTrue="1">
      <formula>IF($B$48="",TRUE)</formula>
    </cfRule>
  </conditionalFormatting>
  <conditionalFormatting sqref="B49">
    <cfRule type="expression" dxfId="324" priority="272" stopIfTrue="1">
      <formula>IF($B$49="",TRUE)</formula>
    </cfRule>
  </conditionalFormatting>
  <conditionalFormatting sqref="B50">
    <cfRule type="expression" dxfId="323" priority="271" stopIfTrue="1">
      <formula>IF($B$50="",TRUE)</formula>
    </cfRule>
  </conditionalFormatting>
  <conditionalFormatting sqref="B51">
    <cfRule type="expression" dxfId="322" priority="270" stopIfTrue="1">
      <formula>IF($B$51="",TRUE)</formula>
    </cfRule>
  </conditionalFormatting>
  <conditionalFormatting sqref="B54">
    <cfRule type="expression" dxfId="321" priority="262" stopIfTrue="1">
      <formula>IF($B$54="",TRUE)</formula>
    </cfRule>
  </conditionalFormatting>
  <conditionalFormatting sqref="B55">
    <cfRule type="expression" dxfId="320" priority="244" stopIfTrue="1">
      <formula>IF($B$55="",TRUE)</formula>
    </cfRule>
  </conditionalFormatting>
  <conditionalFormatting sqref="B56">
    <cfRule type="expression" dxfId="319" priority="261" stopIfTrue="1">
      <formula>IF($B$56="",TRUE)</formula>
    </cfRule>
  </conditionalFormatting>
  <conditionalFormatting sqref="B57">
    <cfRule type="expression" dxfId="318" priority="260" stopIfTrue="1">
      <formula>IF($B$57="",TRUE)</formula>
    </cfRule>
  </conditionalFormatting>
  <conditionalFormatting sqref="B58">
    <cfRule type="expression" dxfId="317" priority="259" stopIfTrue="1">
      <formula>IF($B$58="",TRUE)</formula>
    </cfRule>
  </conditionalFormatting>
  <conditionalFormatting sqref="B59">
    <cfRule type="expression" dxfId="316" priority="258" stopIfTrue="1">
      <formula>IF($B$59="",TRUE)</formula>
    </cfRule>
  </conditionalFormatting>
  <conditionalFormatting sqref="B60">
    <cfRule type="expression" dxfId="315" priority="257" stopIfTrue="1">
      <formula>IF($B$60="",TRUE)</formula>
    </cfRule>
  </conditionalFormatting>
  <conditionalFormatting sqref="B61">
    <cfRule type="expression" dxfId="314" priority="256" stopIfTrue="1">
      <formula>IF($B$61="",TRUE)</formula>
    </cfRule>
  </conditionalFormatting>
  <conditionalFormatting sqref="B62">
    <cfRule type="expression" dxfId="313" priority="255" stopIfTrue="1">
      <formula>IF($B$62="",TRUE)</formula>
    </cfRule>
  </conditionalFormatting>
  <conditionalFormatting sqref="B63">
    <cfRule type="expression" dxfId="312" priority="254" stopIfTrue="1">
      <formula>IF($B$63="",TRUE)</formula>
    </cfRule>
  </conditionalFormatting>
  <conditionalFormatting sqref="B66">
    <cfRule type="expression" dxfId="311" priority="253" stopIfTrue="1">
      <formula>IF($B$54="",TRUE)</formula>
    </cfRule>
  </conditionalFormatting>
  <conditionalFormatting sqref="B67">
    <cfRule type="expression" dxfId="310" priority="243" stopIfTrue="1">
      <formula>IF($B$55="",TRUE)</formula>
    </cfRule>
  </conditionalFormatting>
  <conditionalFormatting sqref="B68">
    <cfRule type="expression" dxfId="309" priority="252" stopIfTrue="1">
      <formula>IF($B$56="",TRUE)</formula>
    </cfRule>
  </conditionalFormatting>
  <conditionalFormatting sqref="B69">
    <cfRule type="expression" dxfId="308" priority="251" stopIfTrue="1">
      <formula>IF($B$57="",TRUE)</formula>
    </cfRule>
  </conditionalFormatting>
  <conditionalFormatting sqref="B70">
    <cfRule type="expression" dxfId="307" priority="250" stopIfTrue="1">
      <formula>IF($B$58="",TRUE)</formula>
    </cfRule>
  </conditionalFormatting>
  <conditionalFormatting sqref="B71">
    <cfRule type="expression" dxfId="306" priority="249" stopIfTrue="1">
      <formula>IF($B$59="",TRUE)</formula>
    </cfRule>
  </conditionalFormatting>
  <conditionalFormatting sqref="B72">
    <cfRule type="expression" dxfId="305" priority="248" stopIfTrue="1">
      <formula>IF($B$60="",TRUE)</formula>
    </cfRule>
  </conditionalFormatting>
  <conditionalFormatting sqref="B73">
    <cfRule type="expression" dxfId="304" priority="247" stopIfTrue="1">
      <formula>IF($B$61="",TRUE)</formula>
    </cfRule>
  </conditionalFormatting>
  <conditionalFormatting sqref="B74">
    <cfRule type="expression" dxfId="303" priority="246" stopIfTrue="1">
      <formula>IF($B$62="",TRUE)</formula>
    </cfRule>
  </conditionalFormatting>
  <conditionalFormatting sqref="B75">
    <cfRule type="expression" dxfId="302" priority="245" stopIfTrue="1">
      <formula>IF($B$63="",TRUE)</formula>
    </cfRule>
  </conditionalFormatting>
  <conditionalFormatting sqref="B78">
    <cfRule type="expression" dxfId="301" priority="242" stopIfTrue="1">
      <formula>IF($B$54="",TRUE)</formula>
    </cfRule>
  </conditionalFormatting>
  <conditionalFormatting sqref="B79">
    <cfRule type="expression" dxfId="300" priority="233" stopIfTrue="1">
      <formula>IF($B$55="",TRUE)</formula>
    </cfRule>
  </conditionalFormatting>
  <conditionalFormatting sqref="B80">
    <cfRule type="expression" dxfId="299" priority="241" stopIfTrue="1">
      <formula>IF($B$56="",TRUE)</formula>
    </cfRule>
  </conditionalFormatting>
  <conditionalFormatting sqref="B81">
    <cfRule type="expression" dxfId="298" priority="240" stopIfTrue="1">
      <formula>IF($B$57="",TRUE)</formula>
    </cfRule>
  </conditionalFormatting>
  <conditionalFormatting sqref="B82">
    <cfRule type="expression" dxfId="297" priority="239" stopIfTrue="1">
      <formula>IF($B$58="",TRUE)</formula>
    </cfRule>
  </conditionalFormatting>
  <conditionalFormatting sqref="B83">
    <cfRule type="expression" dxfId="296" priority="238" stopIfTrue="1">
      <formula>IF($B$59="",TRUE)</formula>
    </cfRule>
  </conditionalFormatting>
  <conditionalFormatting sqref="B84">
    <cfRule type="expression" dxfId="295" priority="237" stopIfTrue="1">
      <formula>IF($B$60="",TRUE)</formula>
    </cfRule>
  </conditionalFormatting>
  <conditionalFormatting sqref="B85">
    <cfRule type="expression" dxfId="294" priority="236" stopIfTrue="1">
      <formula>IF($B$61="",TRUE)</formula>
    </cfRule>
  </conditionalFormatting>
  <conditionalFormatting sqref="B86">
    <cfRule type="expression" dxfId="293" priority="235" stopIfTrue="1">
      <formula>IF($B$62="",TRUE)</formula>
    </cfRule>
  </conditionalFormatting>
  <conditionalFormatting sqref="B87">
    <cfRule type="expression" dxfId="292" priority="234" stopIfTrue="1">
      <formula>IF($B$63="",TRUE)</formula>
    </cfRule>
  </conditionalFormatting>
  <conditionalFormatting sqref="B90">
    <cfRule type="expression" dxfId="291" priority="232" stopIfTrue="1">
      <formula>IF($B$54="",TRUE)</formula>
    </cfRule>
  </conditionalFormatting>
  <conditionalFormatting sqref="B91">
    <cfRule type="expression" dxfId="290" priority="223" stopIfTrue="1">
      <formula>IF($B$55="",TRUE)</formula>
    </cfRule>
  </conditionalFormatting>
  <conditionalFormatting sqref="B92">
    <cfRule type="expression" dxfId="289" priority="231" stopIfTrue="1">
      <formula>IF($B$56="",TRUE)</formula>
    </cfRule>
  </conditionalFormatting>
  <conditionalFormatting sqref="B93">
    <cfRule type="expression" dxfId="288" priority="230" stopIfTrue="1">
      <formula>IF($B$57="",TRUE)</formula>
    </cfRule>
  </conditionalFormatting>
  <conditionalFormatting sqref="B94">
    <cfRule type="expression" dxfId="287" priority="229" stopIfTrue="1">
      <formula>IF($B$58="",TRUE)</formula>
    </cfRule>
  </conditionalFormatting>
  <conditionalFormatting sqref="B95">
    <cfRule type="expression" dxfId="286" priority="228" stopIfTrue="1">
      <formula>IF($B$59="",TRUE)</formula>
    </cfRule>
  </conditionalFormatting>
  <conditionalFormatting sqref="B96">
    <cfRule type="expression" dxfId="285" priority="227" stopIfTrue="1">
      <formula>IF($B$60="",TRUE)</formula>
    </cfRule>
  </conditionalFormatting>
  <conditionalFormatting sqref="B97">
    <cfRule type="expression" dxfId="284" priority="226" stopIfTrue="1">
      <formula>IF($B$61="",TRUE)</formula>
    </cfRule>
  </conditionalFormatting>
  <conditionalFormatting sqref="B98">
    <cfRule type="expression" dxfId="283" priority="225" stopIfTrue="1">
      <formula>IF($B$62="",TRUE)</formula>
    </cfRule>
  </conditionalFormatting>
  <conditionalFormatting sqref="B99">
    <cfRule type="expression" dxfId="282" priority="224" stopIfTrue="1">
      <formula>IF($B$63="",TRUE)</formula>
    </cfRule>
  </conditionalFormatting>
  <conditionalFormatting sqref="B102">
    <cfRule type="expression" dxfId="281" priority="222" stopIfTrue="1">
      <formula>IF($B$54="",TRUE)</formula>
    </cfRule>
  </conditionalFormatting>
  <conditionalFormatting sqref="B103">
    <cfRule type="expression" dxfId="280" priority="213" stopIfTrue="1">
      <formula>IF($B$55="",TRUE)</formula>
    </cfRule>
  </conditionalFormatting>
  <conditionalFormatting sqref="B104">
    <cfRule type="expression" dxfId="279" priority="221" stopIfTrue="1">
      <formula>IF($B$56="",TRUE)</formula>
    </cfRule>
  </conditionalFormatting>
  <conditionalFormatting sqref="B105">
    <cfRule type="expression" dxfId="278" priority="220" stopIfTrue="1">
      <formula>IF($B$57="",TRUE)</formula>
    </cfRule>
  </conditionalFormatting>
  <conditionalFormatting sqref="B106">
    <cfRule type="expression" dxfId="277" priority="219" stopIfTrue="1">
      <formula>IF($B$58="",TRUE)</formula>
    </cfRule>
  </conditionalFormatting>
  <conditionalFormatting sqref="B107">
    <cfRule type="expression" dxfId="276" priority="218" stopIfTrue="1">
      <formula>IF($B$59="",TRUE)</formula>
    </cfRule>
  </conditionalFormatting>
  <conditionalFormatting sqref="B108">
    <cfRule type="expression" dxfId="275" priority="217" stopIfTrue="1">
      <formula>IF($B$60="",TRUE)</formula>
    </cfRule>
  </conditionalFormatting>
  <conditionalFormatting sqref="B109">
    <cfRule type="expression" dxfId="274" priority="216" stopIfTrue="1">
      <formula>IF($B$61="",TRUE)</formula>
    </cfRule>
  </conditionalFormatting>
  <conditionalFormatting sqref="B110">
    <cfRule type="expression" dxfId="273" priority="215" stopIfTrue="1">
      <formula>IF($B$62="",TRUE)</formula>
    </cfRule>
  </conditionalFormatting>
  <conditionalFormatting sqref="B111">
    <cfRule type="expression" dxfId="272" priority="214" stopIfTrue="1">
      <formula>IF($B$63="",TRUE)</formula>
    </cfRule>
  </conditionalFormatting>
  <conditionalFormatting sqref="B120">
    <cfRule type="expression" dxfId="271" priority="191" stopIfTrue="1">
      <formula>IF($B$54="",TRUE)</formula>
    </cfRule>
  </conditionalFormatting>
  <conditionalFormatting sqref="B121">
    <cfRule type="expression" dxfId="270" priority="182" stopIfTrue="1">
      <formula>IF($B$55="",TRUE)</formula>
    </cfRule>
  </conditionalFormatting>
  <conditionalFormatting sqref="B122">
    <cfRule type="expression" dxfId="269" priority="190" stopIfTrue="1">
      <formula>IF($B$56="",TRUE)</formula>
    </cfRule>
  </conditionalFormatting>
  <conditionalFormatting sqref="B123">
    <cfRule type="expression" dxfId="268" priority="189" stopIfTrue="1">
      <formula>IF($B$57="",TRUE)</formula>
    </cfRule>
  </conditionalFormatting>
  <conditionalFormatting sqref="B124">
    <cfRule type="expression" dxfId="267" priority="188" stopIfTrue="1">
      <formula>IF($B$58="",TRUE)</formula>
    </cfRule>
  </conditionalFormatting>
  <conditionalFormatting sqref="B125">
    <cfRule type="expression" dxfId="266" priority="187" stopIfTrue="1">
      <formula>IF($B$59="",TRUE)</formula>
    </cfRule>
  </conditionalFormatting>
  <conditionalFormatting sqref="B126">
    <cfRule type="expression" dxfId="265" priority="186" stopIfTrue="1">
      <formula>IF($B$60="",TRUE)</formula>
    </cfRule>
  </conditionalFormatting>
  <conditionalFormatting sqref="B127">
    <cfRule type="expression" dxfId="264" priority="185" stopIfTrue="1">
      <formula>IF($B$61="",TRUE)</formula>
    </cfRule>
  </conditionalFormatting>
  <conditionalFormatting sqref="B128">
    <cfRule type="expression" dxfId="263" priority="184" stopIfTrue="1">
      <formula>IF($B$62="",TRUE)</formula>
    </cfRule>
  </conditionalFormatting>
  <conditionalFormatting sqref="B129">
    <cfRule type="expression" dxfId="262" priority="183" stopIfTrue="1">
      <formula>IF($B$63="",TRUE)</formula>
    </cfRule>
  </conditionalFormatting>
  <conditionalFormatting sqref="D12">
    <cfRule type="expression" dxfId="261" priority="306">
      <formula>IF($D$12="",TRUE)</formula>
    </cfRule>
  </conditionalFormatting>
  <conditionalFormatting sqref="D20">
    <cfRule type="expression" dxfId="260" priority="320" stopIfTrue="1">
      <formula>IF($D$20="",TRUE)</formula>
    </cfRule>
  </conditionalFormatting>
  <conditionalFormatting sqref="D24">
    <cfRule type="expression" dxfId="259" priority="315" stopIfTrue="1">
      <formula>IF($D$24="",TRUE)</formula>
    </cfRule>
  </conditionalFormatting>
  <conditionalFormatting sqref="D26:E26">
    <cfRule type="expression" dxfId="258" priority="323" stopIfTrue="1">
      <formula>IF($D$26="",TRUE)</formula>
    </cfRule>
  </conditionalFormatting>
  <conditionalFormatting sqref="D30:E30">
    <cfRule type="expression" dxfId="257" priority="317" stopIfTrue="1">
      <formula>IF($D$30="",TRUE)</formula>
    </cfRule>
    <cfRule type="expression" dxfId="256" priority="296" stopIfTrue="1">
      <formula>IF($B$30="",TRUE)</formula>
    </cfRule>
  </conditionalFormatting>
  <conditionalFormatting sqref="D31:E31">
    <cfRule type="expression" dxfId="255" priority="318" stopIfTrue="1">
      <formula>IF($D$31="",TRUE)</formula>
    </cfRule>
    <cfRule type="expression" dxfId="254" priority="295" stopIfTrue="1">
      <formula>IF($B$31="",TRUE)</formula>
    </cfRule>
  </conditionalFormatting>
  <conditionalFormatting sqref="D32:E32">
    <cfRule type="expression" dxfId="253" priority="308" stopIfTrue="1">
      <formula>IF($D$32="",TRUE)</formula>
    </cfRule>
    <cfRule type="expression" dxfId="252" priority="294" stopIfTrue="1">
      <formula>IF($B$32="",TRUE)</formula>
    </cfRule>
  </conditionalFormatting>
  <conditionalFormatting sqref="D33:E33">
    <cfRule type="expression" dxfId="251" priority="292" stopIfTrue="1">
      <formula>IF($B$33="",TRUE)</formula>
    </cfRule>
    <cfRule type="expression" dxfId="250" priority="293" stopIfTrue="1">
      <formula>IF($D$33="",TRUE)</formula>
    </cfRule>
  </conditionalFormatting>
  <conditionalFormatting sqref="D34:E34">
    <cfRule type="expression" dxfId="249" priority="290" stopIfTrue="1">
      <formula>IF($B$34="",TRUE)</formula>
    </cfRule>
    <cfRule type="expression" dxfId="248" priority="291" stopIfTrue="1">
      <formula>IF($D$34="",TRUE)</formula>
    </cfRule>
  </conditionalFormatting>
  <conditionalFormatting sqref="D35:E35">
    <cfRule type="expression" dxfId="247" priority="288" stopIfTrue="1">
      <formula>IF($B$35="",TRUE)</formula>
    </cfRule>
    <cfRule type="expression" dxfId="246" priority="289" stopIfTrue="1">
      <formula>IF($D$35="",TRUE)</formula>
    </cfRule>
  </conditionalFormatting>
  <conditionalFormatting sqref="D36:E36">
    <cfRule type="expression" dxfId="245" priority="286" stopIfTrue="1">
      <formula>IF($B$36="",TRUE)</formula>
    </cfRule>
    <cfRule type="expression" dxfId="244" priority="287" stopIfTrue="1">
      <formula>IF($D$36="",TRUE)</formula>
    </cfRule>
  </conditionalFormatting>
  <conditionalFormatting sqref="D37:E37">
    <cfRule type="expression" dxfId="243" priority="285" stopIfTrue="1">
      <formula>IF($D$37="",TRUE)</formula>
    </cfRule>
    <cfRule type="expression" dxfId="242" priority="284" stopIfTrue="1">
      <formula>IF($B$37="",TRUE)</formula>
    </cfRule>
  </conditionalFormatting>
  <conditionalFormatting sqref="D38:E38">
    <cfRule type="expression" dxfId="241" priority="282" stopIfTrue="1">
      <formula>IF($B$38="",TRUE)</formula>
    </cfRule>
    <cfRule type="expression" dxfId="240" priority="283" stopIfTrue="1">
      <formula>IF($D$38="",TRUE)</formula>
    </cfRule>
  </conditionalFormatting>
  <conditionalFormatting sqref="D39:E39">
    <cfRule type="expression" dxfId="239" priority="280" stopIfTrue="1">
      <formula>IF($B$39="",TRUE)</formula>
    </cfRule>
    <cfRule type="expression" dxfId="238" priority="281" stopIfTrue="1">
      <formula>IF($D$39="",TRUE)</formula>
    </cfRule>
  </conditionalFormatting>
  <conditionalFormatting sqref="D42:E42">
    <cfRule type="expression" dxfId="237" priority="269" stopIfTrue="1">
      <formula>IF($B$42="",TRUE)</formula>
    </cfRule>
    <cfRule type="expression" dxfId="236" priority="311" stopIfTrue="1">
      <formula>IF(AND(OR($D$30="Yes",$D$30=""),$D$42=""),1,0)</formula>
    </cfRule>
    <cfRule type="expression" dxfId="235" priority="312" stopIfTrue="1">
      <formula>IF($P$30="",TRUE)</formula>
    </cfRule>
  </conditionalFormatting>
  <conditionalFormatting sqref="D43:E43">
    <cfRule type="expression" dxfId="234" priority="266" stopIfTrue="1">
      <formula>IF($B$43="",TRUE)</formula>
    </cfRule>
    <cfRule type="expression" dxfId="233" priority="267" stopIfTrue="1">
      <formula>IF(AND(OR($D$31="Yes",$D$31=""),$D$43=""),1,0)</formula>
    </cfRule>
    <cfRule type="expression" dxfId="232" priority="268" stopIfTrue="1">
      <formula>IF($P$31="",TRUE)</formula>
    </cfRule>
  </conditionalFormatting>
  <conditionalFormatting sqref="D44:E44">
    <cfRule type="expression" dxfId="231" priority="264" stopIfTrue="1">
      <formula>IF(AND(OR($D$32="Yes",$D$32=""),$D$44=""),1,0)</formula>
    </cfRule>
    <cfRule type="expression" dxfId="230" priority="263" stopIfTrue="1">
      <formula>IF($B$44="",TRUE)</formula>
    </cfRule>
    <cfRule type="expression" dxfId="229" priority="265" stopIfTrue="1">
      <formula>IF($P$32="",TRUE)</formula>
    </cfRule>
  </conditionalFormatting>
  <conditionalFormatting sqref="D45:E45">
    <cfRule type="expression" dxfId="228" priority="212" stopIfTrue="1">
      <formula>IF($P$33="",TRUE)</formula>
    </cfRule>
    <cfRule type="expression" dxfId="227" priority="211" stopIfTrue="1">
      <formula>IF(AND(OR($D$33="Yes",$D$33=""),$D$45=""),1,0)</formula>
    </cfRule>
    <cfRule type="expression" dxfId="226" priority="210" stopIfTrue="1">
      <formula>IF($B$45="",TRUE)</formula>
    </cfRule>
  </conditionalFormatting>
  <conditionalFormatting sqref="D46:E46">
    <cfRule type="expression" dxfId="225" priority="209" stopIfTrue="1">
      <formula>IF($P$34="",TRUE)</formula>
    </cfRule>
    <cfRule type="expression" dxfId="224" priority="208" stopIfTrue="1">
      <formula>IF(AND(OR($D$34="Yes",$D$34=""),$D$46=""),1,0)</formula>
    </cfRule>
    <cfRule type="expression" dxfId="223" priority="207" stopIfTrue="1">
      <formula>IF($B$46="",TRUE)</formula>
    </cfRule>
  </conditionalFormatting>
  <conditionalFormatting sqref="D47:E47">
    <cfRule type="expression" dxfId="222" priority="205" stopIfTrue="1">
      <formula>IF(AND(OR($D$35="Yes",$D$35=""),$D$47=""),1,0)</formula>
    </cfRule>
    <cfRule type="expression" dxfId="221" priority="206" stopIfTrue="1">
      <formula>IF($P$35="",TRUE)</formula>
    </cfRule>
    <cfRule type="expression" dxfId="220" priority="204" stopIfTrue="1">
      <formula>IF($B$47="",TRUE)</formula>
    </cfRule>
  </conditionalFormatting>
  <conditionalFormatting sqref="D48:E48">
    <cfRule type="expression" dxfId="219" priority="202" stopIfTrue="1">
      <formula>IF(AND(OR($D$36="Yes",$D$36=""),$D$48=""),1,0)</formula>
    </cfRule>
    <cfRule type="expression" dxfId="218" priority="203" stopIfTrue="1">
      <formula>IF($P$36="",TRUE)</formula>
    </cfRule>
    <cfRule type="expression" dxfId="217" priority="201" stopIfTrue="1">
      <formula>IF($B$48="",TRUE)</formula>
    </cfRule>
  </conditionalFormatting>
  <conditionalFormatting sqref="D49:E49">
    <cfRule type="expression" dxfId="216" priority="198" stopIfTrue="1">
      <formula>IF($B$49="",TRUE)</formula>
    </cfRule>
    <cfRule type="expression" dxfId="215" priority="199" stopIfTrue="1">
      <formula>IF(AND(OR($D$37="Yes",$D$37=""),$D$49=""),1,0)</formula>
    </cfRule>
    <cfRule type="expression" dxfId="214" priority="200" stopIfTrue="1">
      <formula>IF($P$37="",TRUE)</formula>
    </cfRule>
  </conditionalFormatting>
  <conditionalFormatting sqref="D50:E50">
    <cfRule type="expression" dxfId="213" priority="196" stopIfTrue="1">
      <formula>IF(AND(OR($D$38="Yes",$D$38=""),$D$50=""),1,0)</formula>
    </cfRule>
    <cfRule type="expression" dxfId="212" priority="197" stopIfTrue="1">
      <formula>IF($P$38="",TRUE)</formula>
    </cfRule>
    <cfRule type="expression" dxfId="211" priority="195" stopIfTrue="1">
      <formula>IF($B$50="",TRUE)</formula>
    </cfRule>
  </conditionalFormatting>
  <conditionalFormatting sqref="D51:E51">
    <cfRule type="expression" dxfId="210" priority="194" stopIfTrue="1">
      <formula>IF($P$39="",TRUE)</formula>
    </cfRule>
    <cfRule type="expression" dxfId="209" priority="193" stopIfTrue="1">
      <formula>IF(AND(OR($D$39="Yes",$D$39=""),$D$51=""),1,0)</formula>
    </cfRule>
    <cfRule type="expression" dxfId="208" priority="192" stopIfTrue="1">
      <formula>IF($B$51="",TRUE)</formula>
    </cfRule>
  </conditionalFormatting>
  <conditionalFormatting sqref="D54:E54">
    <cfRule type="expression" dxfId="207" priority="122" stopIfTrue="1">
      <formula>IF($B$54="",TRUE)</formula>
    </cfRule>
    <cfRule type="expression" dxfId="206" priority="123" stopIfTrue="1">
      <formula>IF($P$54="",TRUE)</formula>
    </cfRule>
    <cfRule type="expression" dxfId="205" priority="124" stopIfTrue="1">
      <formula>IF(AND(OR($D$42="Yes",$D$42=""),$D$54=""),1,0)</formula>
    </cfRule>
  </conditionalFormatting>
  <conditionalFormatting sqref="D55:E55">
    <cfRule type="expression" dxfId="204" priority="181" stopIfTrue="1">
      <formula>IF(AND(OR($D$43="Yes",$D$43=""),$D$55=""),1,0)</formula>
    </cfRule>
    <cfRule type="expression" dxfId="203" priority="180" stopIfTrue="1">
      <formula>IF($P$55="",TRUE)</formula>
    </cfRule>
    <cfRule type="expression" dxfId="202" priority="179" stopIfTrue="1">
      <formula>IF($B$55="",TRUE)</formula>
    </cfRule>
  </conditionalFormatting>
  <conditionalFormatting sqref="D56:E56">
    <cfRule type="expression" dxfId="201" priority="177" stopIfTrue="1">
      <formula>IF($P$56="",TRUE)</formula>
    </cfRule>
    <cfRule type="expression" dxfId="200" priority="178" stopIfTrue="1">
      <formula>IF(AND(OR($D$44="Yes",$D$44=""),$D$56=""),1,0)</formula>
    </cfRule>
    <cfRule type="expression" dxfId="199" priority="125" stopIfTrue="1">
      <formula>IF($B$56="",TRUE)</formula>
    </cfRule>
  </conditionalFormatting>
  <conditionalFormatting sqref="D57:E57">
    <cfRule type="expression" dxfId="198" priority="175" stopIfTrue="1">
      <formula>IF($P$57="",TRUE)</formula>
    </cfRule>
    <cfRule type="expression" dxfId="197" priority="174" stopIfTrue="1">
      <formula>IF($B$57="",TRUE)</formula>
    </cfRule>
    <cfRule type="expression" dxfId="196" priority="176" stopIfTrue="1">
      <formula>IF(AND(OR($D$45="Yes",$D$45=""),$D$57=""),1,0)</formula>
    </cfRule>
  </conditionalFormatting>
  <conditionalFormatting sqref="D58:E58">
    <cfRule type="expression" dxfId="195" priority="171" stopIfTrue="1">
      <formula>IF($B$58="",TRUE)</formula>
    </cfRule>
    <cfRule type="expression" dxfId="194" priority="173" stopIfTrue="1">
      <formula>IF(AND(OR($D$46="Yes",$D$46=""),$D$58=""),1,0)</formula>
    </cfRule>
    <cfRule type="expression" dxfId="193" priority="172" stopIfTrue="1">
      <formula>IF($P$58="",TRUE)</formula>
    </cfRule>
  </conditionalFormatting>
  <conditionalFormatting sqref="D59:E59">
    <cfRule type="expression" dxfId="192" priority="168" stopIfTrue="1">
      <formula>IF($B$59="",TRUE)</formula>
    </cfRule>
    <cfRule type="expression" dxfId="191" priority="169" stopIfTrue="1">
      <formula>IF($P$59="",TRUE)</formula>
    </cfRule>
    <cfRule type="expression" dxfId="190" priority="170" stopIfTrue="1">
      <formula>IF(AND(OR($D$47="Yes",$D$47=""),$D$59=""),1,0)</formula>
    </cfRule>
  </conditionalFormatting>
  <conditionalFormatting sqref="D60:E60">
    <cfRule type="expression" dxfId="189" priority="165" stopIfTrue="1">
      <formula>IF($B$60="",TRUE)</formula>
    </cfRule>
    <cfRule type="expression" dxfId="188" priority="167" stopIfTrue="1">
      <formula>IF(AND(OR($D$48="Yes",$D$48=""),$D$60=""),1,0)</formula>
    </cfRule>
    <cfRule type="expression" dxfId="187" priority="166" stopIfTrue="1">
      <formula>IF($P$60="",TRUE)</formula>
    </cfRule>
  </conditionalFormatting>
  <conditionalFormatting sqref="D61:E61">
    <cfRule type="expression" dxfId="186" priority="163" stopIfTrue="1">
      <formula>IF($P$61="",TRUE)</formula>
    </cfRule>
    <cfRule type="expression" dxfId="185" priority="162" stopIfTrue="1">
      <formula>IF($B$61="",TRUE)</formula>
    </cfRule>
    <cfRule type="expression" dxfId="184" priority="164" stopIfTrue="1">
      <formula>IF(AND(OR($D$49="Yes",$D$49=""),$D$61=""),1,0)</formula>
    </cfRule>
  </conditionalFormatting>
  <conditionalFormatting sqref="D62:E62">
    <cfRule type="expression" dxfId="183" priority="159" stopIfTrue="1">
      <formula>IF($B$62="",TRUE)</formula>
    </cfRule>
    <cfRule type="expression" dxfId="182" priority="160" stopIfTrue="1">
      <formula>IF($P$62="",TRUE)</formula>
    </cfRule>
    <cfRule type="expression" dxfId="181" priority="161" stopIfTrue="1">
      <formula>IF(AND(OR($D$50="Yes",$D$50=""),$D$62=""),1,0)</formula>
    </cfRule>
  </conditionalFormatting>
  <conditionalFormatting sqref="D63:E63">
    <cfRule type="expression" dxfId="180" priority="156" stopIfTrue="1">
      <formula>IF($B$63="",TRUE)</formula>
    </cfRule>
    <cfRule type="expression" dxfId="179" priority="157" stopIfTrue="1">
      <formula>IF($P$63="",TRUE)</formula>
    </cfRule>
    <cfRule type="expression" dxfId="178" priority="158" stopIfTrue="1">
      <formula>IF(AND(OR($D$51="Yes",$D$51=""),$D$63=""),1,0)</formula>
    </cfRule>
  </conditionalFormatting>
  <conditionalFormatting sqref="D66:E66">
    <cfRule type="expression" dxfId="177" priority="92" stopIfTrue="1">
      <formula>IF($B$54="",TRUE)</formula>
    </cfRule>
    <cfRule type="expression" dxfId="176" priority="93" stopIfTrue="1">
      <formula>IF($P$54="",TRUE)</formula>
    </cfRule>
    <cfRule type="expression" dxfId="175" priority="94" stopIfTrue="1">
      <formula>IF(AND(OR($D$42="Yes",$D$42=""),$D$66=""),1,0)</formula>
    </cfRule>
  </conditionalFormatting>
  <conditionalFormatting sqref="D67:E67">
    <cfRule type="expression" dxfId="174" priority="121" stopIfTrue="1">
      <formula>IF(AND(OR($D$43="Yes",$D$43=""),$D$67=""),1,0)</formula>
    </cfRule>
    <cfRule type="expression" dxfId="173" priority="120" stopIfTrue="1">
      <formula>IF($P$55="",TRUE)</formula>
    </cfRule>
    <cfRule type="expression" dxfId="172" priority="119" stopIfTrue="1">
      <formula>IF($B$55="",TRUE)</formula>
    </cfRule>
  </conditionalFormatting>
  <conditionalFormatting sqref="D68:E68">
    <cfRule type="expression" dxfId="171" priority="95" stopIfTrue="1">
      <formula>IF($B$56="",TRUE)</formula>
    </cfRule>
    <cfRule type="expression" dxfId="170" priority="118" stopIfTrue="1">
      <formula>IF(AND(OR($D$44="Yes",$D$44=""),$D$68=""),1,0)</formula>
    </cfRule>
    <cfRule type="expression" dxfId="169" priority="117" stopIfTrue="1">
      <formula>IF($P$56="",TRUE)</formula>
    </cfRule>
  </conditionalFormatting>
  <conditionalFormatting sqref="D69:E69">
    <cfRule type="expression" dxfId="168" priority="114" stopIfTrue="1">
      <formula>IF($B$57="",TRUE)</formula>
    </cfRule>
    <cfRule type="expression" dxfId="167" priority="115" stopIfTrue="1">
      <formula>IF($P$57="",TRUE)</formula>
    </cfRule>
    <cfRule type="expression" dxfId="166" priority="116" stopIfTrue="1">
      <formula>IF(AND(OR($D$45="Yes",$D$45=""),$D$69=""),1,0)</formula>
    </cfRule>
  </conditionalFormatting>
  <conditionalFormatting sqref="D70:E70">
    <cfRule type="expression" dxfId="165" priority="113" stopIfTrue="1">
      <formula>IF(AND(OR($D$46="Yes",$D$46=""),$D$70=""),1,0)</formula>
    </cfRule>
    <cfRule type="expression" dxfId="164" priority="111" stopIfTrue="1">
      <formula>IF($B$58="",TRUE)</formula>
    </cfRule>
    <cfRule type="expression" dxfId="163" priority="112" stopIfTrue="1">
      <formula>IF($P$58="",TRUE)</formula>
    </cfRule>
  </conditionalFormatting>
  <conditionalFormatting sqref="D71:E71">
    <cfRule type="expression" dxfId="162" priority="109" stopIfTrue="1">
      <formula>IF($P$59="",TRUE)</formula>
    </cfRule>
    <cfRule type="expression" dxfId="161" priority="110" stopIfTrue="1">
      <formula>IF(AND(OR($D$47="Yes",$D$47=""),$D$71=""),1,0)</formula>
    </cfRule>
    <cfRule type="expression" dxfId="160" priority="108" stopIfTrue="1">
      <formula>IF($B$59="",TRUE)</formula>
    </cfRule>
  </conditionalFormatting>
  <conditionalFormatting sqref="D72:E72">
    <cfRule type="expression" dxfId="159" priority="105" stopIfTrue="1">
      <formula>IF($B$60="",TRUE)</formula>
    </cfRule>
    <cfRule type="expression" dxfId="158" priority="107" stopIfTrue="1">
      <formula>IF(AND(OR($D$48="Yes",$D$48=""),$D$72=""),1,0)</formula>
    </cfRule>
    <cfRule type="expression" dxfId="157" priority="106" stopIfTrue="1">
      <formula>IF($P$60="",TRUE)</formula>
    </cfRule>
  </conditionalFormatting>
  <conditionalFormatting sqref="D73:E73">
    <cfRule type="expression" dxfId="156" priority="104" stopIfTrue="1">
      <formula>IF(AND(OR($D$49="Yes",$D$49=""),$D$73=""),1,0)</formula>
    </cfRule>
    <cfRule type="expression" dxfId="155" priority="102" stopIfTrue="1">
      <formula>IF($B$61="",TRUE)</formula>
    </cfRule>
    <cfRule type="expression" dxfId="154" priority="103" stopIfTrue="1">
      <formula>IF($P$61="",TRUE)</formula>
    </cfRule>
  </conditionalFormatting>
  <conditionalFormatting sqref="D74:E74">
    <cfRule type="expression" dxfId="153" priority="99" stopIfTrue="1">
      <formula>IF($B$62="",TRUE)</formula>
    </cfRule>
    <cfRule type="expression" dxfId="152" priority="100" stopIfTrue="1">
      <formula>IF($P$62="",TRUE)</formula>
    </cfRule>
    <cfRule type="expression" dxfId="151" priority="101" stopIfTrue="1">
      <formula>IF(AND(OR($D$50="Yes",$D$50=""),$D$74=""),1,0)</formula>
    </cfRule>
  </conditionalFormatting>
  <conditionalFormatting sqref="D75:E75">
    <cfRule type="expression" dxfId="150" priority="98" stopIfTrue="1">
      <formula>IF(AND(OR($D$51="Yes",$D$51=""),$D$75=""),1,0)</formula>
    </cfRule>
    <cfRule type="expression" dxfId="149" priority="97" stopIfTrue="1">
      <formula>IF($P$63="",TRUE)</formula>
    </cfRule>
    <cfRule type="expression" dxfId="148" priority="96" stopIfTrue="1">
      <formula>IF($B$63="",TRUE)</formula>
    </cfRule>
  </conditionalFormatting>
  <conditionalFormatting sqref="D78:E78">
    <cfRule type="expression" dxfId="147" priority="62" stopIfTrue="1">
      <formula>IF($B$54="",TRUE)</formula>
    </cfRule>
    <cfRule type="expression" dxfId="146" priority="63" stopIfTrue="1">
      <formula>IF($P$54="",TRUE)</formula>
    </cfRule>
    <cfRule type="expression" dxfId="145" priority="64" stopIfTrue="1">
      <formula>IF(AND(OR($D$42="Yes",$D$42=""),$D$78=""),1,0)</formula>
    </cfRule>
  </conditionalFormatting>
  <conditionalFormatting sqref="D79:E79">
    <cfRule type="expression" dxfId="144" priority="91" stopIfTrue="1">
      <formula>IF(AND(OR($D$43="Yes",$D$43=""),$D$79=""),1,0)</formula>
    </cfRule>
    <cfRule type="expression" dxfId="143" priority="90" stopIfTrue="1">
      <formula>IF($P$55="",TRUE)</formula>
    </cfRule>
    <cfRule type="expression" dxfId="142" priority="89" stopIfTrue="1">
      <formula>IF($B$55="",TRUE)</formula>
    </cfRule>
  </conditionalFormatting>
  <conditionalFormatting sqref="D80:E80">
    <cfRule type="expression" dxfId="141" priority="87" stopIfTrue="1">
      <formula>IF($P$56="",TRUE)</formula>
    </cfRule>
    <cfRule type="expression" dxfId="140" priority="65" stopIfTrue="1">
      <formula>IF($B$56="",TRUE)</formula>
    </cfRule>
    <cfRule type="expression" dxfId="139" priority="88" stopIfTrue="1">
      <formula>IF(AND(OR($D$44="Yes",$D$44=""),$D$80=""),1,0)</formula>
    </cfRule>
  </conditionalFormatting>
  <conditionalFormatting sqref="D81:E81">
    <cfRule type="expression" dxfId="138" priority="86" stopIfTrue="1">
      <formula>IF(AND(OR($D$45="Yes",$D$45=""),$D$81=""),1,0)</formula>
    </cfRule>
    <cfRule type="expression" dxfId="137" priority="85" stopIfTrue="1">
      <formula>IF($P$57="",TRUE)</formula>
    </cfRule>
    <cfRule type="expression" dxfId="136" priority="84" stopIfTrue="1">
      <formula>IF($B$57="",TRUE)</formula>
    </cfRule>
  </conditionalFormatting>
  <conditionalFormatting sqref="D82:E82">
    <cfRule type="expression" dxfId="135" priority="83" stopIfTrue="1">
      <formula>IF(AND(OR($D$46="Yes",$D$46=""),$D$82=""),1,0)</formula>
    </cfRule>
    <cfRule type="expression" dxfId="134" priority="81" stopIfTrue="1">
      <formula>IF($B$58="",TRUE)</formula>
    </cfRule>
    <cfRule type="expression" dxfId="133" priority="82" stopIfTrue="1">
      <formula>IF($P$58="",TRUE)</formula>
    </cfRule>
  </conditionalFormatting>
  <conditionalFormatting sqref="D83:E83">
    <cfRule type="expression" dxfId="132" priority="80" stopIfTrue="1">
      <formula>IF(AND(OR($D$47="Yes",$D$47=""),$D$83=""),1,0)</formula>
    </cfRule>
    <cfRule type="expression" dxfId="131" priority="79" stopIfTrue="1">
      <formula>IF($P$59="",TRUE)</formula>
    </cfRule>
    <cfRule type="expression" dxfId="130" priority="78" stopIfTrue="1">
      <formula>IF($B$59="",TRUE)</formula>
    </cfRule>
  </conditionalFormatting>
  <conditionalFormatting sqref="D84:E84">
    <cfRule type="expression" dxfId="129" priority="77" stopIfTrue="1">
      <formula>IF(AND(OR($D$48="Yes",$D$48=""),$D$84=""),1,0)</formula>
    </cfRule>
    <cfRule type="expression" dxfId="128" priority="76" stopIfTrue="1">
      <formula>IF($P$60="",TRUE)</formula>
    </cfRule>
    <cfRule type="expression" dxfId="127" priority="75" stopIfTrue="1">
      <formula>IF($B$60="",TRUE)</formula>
    </cfRule>
  </conditionalFormatting>
  <conditionalFormatting sqref="D85:E85">
    <cfRule type="expression" dxfId="126" priority="74" stopIfTrue="1">
      <formula>IF(AND(OR($D$49="Yes",$D$49=""),$D$85=""),1,0)</formula>
    </cfRule>
    <cfRule type="expression" dxfId="125" priority="73" stopIfTrue="1">
      <formula>IF($P$61="",TRUE)</formula>
    </cfRule>
    <cfRule type="expression" dxfId="124" priority="72" stopIfTrue="1">
      <formula>IF($B$61="",TRUE)</formula>
    </cfRule>
  </conditionalFormatting>
  <conditionalFormatting sqref="D86:E86">
    <cfRule type="expression" dxfId="123" priority="71" stopIfTrue="1">
      <formula>IF(AND(OR($D$50="Yes",$D$50=""),$D$86=""),1,0)</formula>
    </cfRule>
    <cfRule type="expression" dxfId="122" priority="70" stopIfTrue="1">
      <formula>IF($P$62="",TRUE)</formula>
    </cfRule>
    <cfRule type="expression" dxfId="121" priority="69" stopIfTrue="1">
      <formula>IF($B$62="",TRUE)</formula>
    </cfRule>
  </conditionalFormatting>
  <conditionalFormatting sqref="D87:E87">
    <cfRule type="expression" dxfId="120" priority="68" stopIfTrue="1">
      <formula>IF(AND(OR($D$51="Yes",$D$51=""),$D$87=""),1,0)</formula>
    </cfRule>
    <cfRule type="expression" dxfId="119" priority="67" stopIfTrue="1">
      <formula>IF($P$63="",TRUE)</formula>
    </cfRule>
    <cfRule type="expression" dxfId="118" priority="66" stopIfTrue="1">
      <formula>IF($B$63="",TRUE)</formula>
    </cfRule>
  </conditionalFormatting>
  <conditionalFormatting sqref="D90:E90">
    <cfRule type="expression" dxfId="117" priority="32" stopIfTrue="1">
      <formula>IF($B$54="",TRUE)</formula>
    </cfRule>
    <cfRule type="expression" dxfId="116" priority="34" stopIfTrue="1">
      <formula>IF(AND(OR($D$42="Yes",$D$42=""),$D$90=""),1,0)</formula>
    </cfRule>
    <cfRule type="expression" dxfId="115" priority="33" stopIfTrue="1">
      <formula>IF($P$54="",TRUE)</formula>
    </cfRule>
  </conditionalFormatting>
  <conditionalFormatting sqref="D91:E91">
    <cfRule type="expression" dxfId="114" priority="61" stopIfTrue="1">
      <formula>IF(AND(OR($D$43="Yes",$D$43=""),$D$91=""),1,0)</formula>
    </cfRule>
    <cfRule type="expression" dxfId="113" priority="60" stopIfTrue="1">
      <formula>IF($P$55="",TRUE)</formula>
    </cfRule>
    <cfRule type="expression" dxfId="112" priority="59" stopIfTrue="1">
      <formula>IF($B$55="",TRUE)</formula>
    </cfRule>
  </conditionalFormatting>
  <conditionalFormatting sqref="D92:E92">
    <cfRule type="expression" dxfId="111" priority="35" stopIfTrue="1">
      <formula>IF($B$56="",TRUE)</formula>
    </cfRule>
    <cfRule type="expression" dxfId="110" priority="58" stopIfTrue="1">
      <formula>IF(AND(OR($D$44="Yes",$D$44=""),$D$92=""),1,0)</formula>
    </cfRule>
    <cfRule type="expression" dxfId="109" priority="57" stopIfTrue="1">
      <formula>IF($P$56="",TRUE)</formula>
    </cfRule>
  </conditionalFormatting>
  <conditionalFormatting sqref="D93:E93">
    <cfRule type="expression" dxfId="108" priority="56" stopIfTrue="1">
      <formula>IF(AND(OR($D$45="Yes",$D$45=""),$D$93=""),1,0)</formula>
    </cfRule>
    <cfRule type="expression" dxfId="107" priority="55" stopIfTrue="1">
      <formula>IF($P$57="",TRUE)</formula>
    </cfRule>
    <cfRule type="expression" dxfId="106" priority="54" stopIfTrue="1">
      <formula>IF($B$57="",TRUE)</formula>
    </cfRule>
  </conditionalFormatting>
  <conditionalFormatting sqref="D94:E94">
    <cfRule type="expression" dxfId="105" priority="51" stopIfTrue="1">
      <formula>IF($B$58="",TRUE)</formula>
    </cfRule>
    <cfRule type="expression" dxfId="104" priority="53" stopIfTrue="1">
      <formula>IF(AND(OR($D$46="Yes",$D$46=""),$D$94=""),1,0)</formula>
    </cfRule>
    <cfRule type="expression" dxfId="103" priority="52" stopIfTrue="1">
      <formula>IF($P$58="",TRUE)</formula>
    </cfRule>
  </conditionalFormatting>
  <conditionalFormatting sqref="D95:E95">
    <cfRule type="expression" dxfId="102" priority="50" stopIfTrue="1">
      <formula>IF(AND(OR($D$47="Yes",$D$47=""),$D$95=""),1,0)</formula>
    </cfRule>
    <cfRule type="expression" dxfId="101" priority="49" stopIfTrue="1">
      <formula>IF($P$59="",TRUE)</formula>
    </cfRule>
    <cfRule type="expression" dxfId="100" priority="48" stopIfTrue="1">
      <formula>IF($B$59="",TRUE)</formula>
    </cfRule>
  </conditionalFormatting>
  <conditionalFormatting sqref="D96:E96">
    <cfRule type="expression" dxfId="99" priority="46" stopIfTrue="1">
      <formula>IF($P$60="",TRUE)</formula>
    </cfRule>
    <cfRule type="expression" dxfId="98" priority="45" stopIfTrue="1">
      <formula>IF($B$60="",TRUE)</formula>
    </cfRule>
    <cfRule type="expression" dxfId="97" priority="47" stopIfTrue="1">
      <formula>IF(AND(OR($D$48="Yes",$D$48=""),$D$96=""),1,0)</formula>
    </cfRule>
  </conditionalFormatting>
  <conditionalFormatting sqref="D97:E97">
    <cfRule type="expression" dxfId="96" priority="42" stopIfTrue="1">
      <formula>IF($B$61="",TRUE)</formula>
    </cfRule>
    <cfRule type="expression" dxfId="95" priority="44" stopIfTrue="1">
      <formula>IF(AND(OR($D$49="Yes",$D$49=""),$D$97=""),1,0)</formula>
    </cfRule>
    <cfRule type="expression" dxfId="94" priority="43" stopIfTrue="1">
      <formula>IF($P$61="",TRUE)</formula>
    </cfRule>
  </conditionalFormatting>
  <conditionalFormatting sqref="D98:E98">
    <cfRule type="expression" dxfId="93" priority="41" stopIfTrue="1">
      <formula>IF(AND(OR($D$50="Yes",$D$50=""),$D$98=""),1,0)</formula>
    </cfRule>
    <cfRule type="expression" dxfId="92" priority="40" stopIfTrue="1">
      <formula>IF($P$62="",TRUE)</formula>
    </cfRule>
    <cfRule type="expression" dxfId="91" priority="39" stopIfTrue="1">
      <formula>IF($B$62="",TRUE)</formula>
    </cfRule>
  </conditionalFormatting>
  <conditionalFormatting sqref="D99:E99">
    <cfRule type="expression" dxfId="90" priority="38" stopIfTrue="1">
      <formula>IF(AND(OR($D$51="Yes",$D$51=""),$D$99=""),1,0)</formula>
    </cfRule>
    <cfRule type="expression" dxfId="89" priority="37" stopIfTrue="1">
      <formula>IF($P$63="",TRUE)</formula>
    </cfRule>
    <cfRule type="expression" dxfId="88" priority="36" stopIfTrue="1">
      <formula>IF($B$63="",TRUE)</formula>
    </cfRule>
  </conditionalFormatting>
  <conditionalFormatting sqref="D102:E102">
    <cfRule type="expression" dxfId="87" priority="4" stopIfTrue="1">
      <formula>IF(AND(OR($D$42="Yes",$D$42=""),$D$102=""),1,0)</formula>
    </cfRule>
    <cfRule type="expression" dxfId="86" priority="2" stopIfTrue="1">
      <formula>IF($B$54="",TRUE)</formula>
    </cfRule>
    <cfRule type="expression" dxfId="85" priority="3" stopIfTrue="1">
      <formula>IF($P$54="",TRUE)</formula>
    </cfRule>
  </conditionalFormatting>
  <conditionalFormatting sqref="D103:E103">
    <cfRule type="expression" dxfId="84" priority="31" stopIfTrue="1">
      <formula>IF(AND(OR($D$43="Yes",$D$43=""),$D$103=""),1,0)</formula>
    </cfRule>
    <cfRule type="expression" dxfId="83" priority="29" stopIfTrue="1">
      <formula>IF($B$55="",TRUE)</formula>
    </cfRule>
    <cfRule type="expression" dxfId="82" priority="30" stopIfTrue="1">
      <formula>IF($P$55="",TRUE)</formula>
    </cfRule>
  </conditionalFormatting>
  <conditionalFormatting sqref="D104:E104">
    <cfRule type="expression" dxfId="81" priority="5" stopIfTrue="1">
      <formula>IF($B$56="",TRUE)</formula>
    </cfRule>
    <cfRule type="expression" dxfId="80" priority="27" stopIfTrue="1">
      <formula>IF($P$56="",TRUE)</formula>
    </cfRule>
    <cfRule type="expression" dxfId="79" priority="28" stopIfTrue="1">
      <formula>IF(AND(OR($D$44="Yes",$D$44=""),$D$104=""),1,0)</formula>
    </cfRule>
  </conditionalFormatting>
  <conditionalFormatting sqref="D105:E105">
    <cfRule type="expression" dxfId="78" priority="25" stopIfTrue="1">
      <formula>IF($P$57="",TRUE)</formula>
    </cfRule>
    <cfRule type="expression" dxfId="77" priority="24" stopIfTrue="1">
      <formula>IF($B$57="",TRUE)</formula>
    </cfRule>
    <cfRule type="expression" dxfId="76" priority="26" stopIfTrue="1">
      <formula>IF(AND(OR($D$45="Yes",$D$45=""),$D$105=""),1,0)</formula>
    </cfRule>
  </conditionalFormatting>
  <conditionalFormatting sqref="D106:E106">
    <cfRule type="expression" dxfId="75" priority="21" stopIfTrue="1">
      <formula>IF($B$58="",TRUE)</formula>
    </cfRule>
    <cfRule type="expression" dxfId="74" priority="23" stopIfTrue="1">
      <formula>IF(AND(OR($D$46="Yes",$D$46=""),$D$106=""),1,0)</formula>
    </cfRule>
    <cfRule type="expression" dxfId="73" priority="22" stopIfTrue="1">
      <formula>IF($P$58="",TRUE)</formula>
    </cfRule>
  </conditionalFormatting>
  <conditionalFormatting sqref="D107:E107">
    <cfRule type="expression" dxfId="72" priority="20" stopIfTrue="1">
      <formula>IF(AND(OR($D$47="Yes",$D$47=""),$D$107=""),1,0)</formula>
    </cfRule>
    <cfRule type="expression" dxfId="71" priority="18" stopIfTrue="1">
      <formula>IF($B$59="",TRUE)</formula>
    </cfRule>
    <cfRule type="expression" dxfId="70" priority="19" stopIfTrue="1">
      <formula>IF($P$59="",TRUE)</formula>
    </cfRule>
  </conditionalFormatting>
  <conditionalFormatting sqref="D108:E108">
    <cfRule type="expression" dxfId="69" priority="15" stopIfTrue="1">
      <formula>IF($B$60="",TRUE)</formula>
    </cfRule>
    <cfRule type="expression" dxfId="68" priority="16" stopIfTrue="1">
      <formula>IF($P$60="",TRUE)</formula>
    </cfRule>
    <cfRule type="expression" dxfId="67" priority="17" stopIfTrue="1">
      <formula>IF(AND(OR($D$48="Yes",$D$48=""),$D$108=""),1,0)</formula>
    </cfRule>
  </conditionalFormatting>
  <conditionalFormatting sqref="D109:E109">
    <cfRule type="expression" dxfId="66" priority="12" stopIfTrue="1">
      <formula>IF($B$61="",TRUE)</formula>
    </cfRule>
    <cfRule type="expression" dxfId="65" priority="13" stopIfTrue="1">
      <formula>IF($P$61="",TRUE)</formula>
    </cfRule>
    <cfRule type="expression" dxfId="64" priority="14" stopIfTrue="1">
      <formula>IF(AND(OR($D$49="Yes",$D$49=""),$D$109=""),1,0)</formula>
    </cfRule>
  </conditionalFormatting>
  <conditionalFormatting sqref="D110:E110">
    <cfRule type="expression" dxfId="63" priority="10" stopIfTrue="1">
      <formula>IF($P$62="",TRUE)</formula>
    </cfRule>
    <cfRule type="expression" dxfId="62" priority="9" stopIfTrue="1">
      <formula>IF($B$62="",TRUE)</formula>
    </cfRule>
    <cfRule type="expression" dxfId="61" priority="11" stopIfTrue="1">
      <formula>IF(AND(OR($D$50="Yes",$D$50=""),$D$110=""),1,0)</formula>
    </cfRule>
  </conditionalFormatting>
  <conditionalFormatting sqref="D111:E111">
    <cfRule type="expression" dxfId="60" priority="8" stopIfTrue="1">
      <formula>IF(AND(OR($D$51="Yes",$D$51=""),$D$111=""),1,0)</formula>
    </cfRule>
    <cfRule type="expression" dxfId="59" priority="7" stopIfTrue="1">
      <formula>IF($P$63="",TRUE)</formula>
    </cfRule>
    <cfRule type="expression" dxfId="58" priority="6" stopIfTrue="1">
      <formula>IF($B$63="",TRUE)</formula>
    </cfRule>
  </conditionalFormatting>
  <conditionalFormatting sqref="D115:E115 D117:E117 D131:E131 D133:E133 D135:E135 D137:E137">
    <cfRule type="expression" dxfId="57" priority="310" stopIfTrue="1">
      <formula>IF(D115="",TRUE)</formula>
    </cfRule>
    <cfRule type="expression" dxfId="56" priority="309" stopIfTrue="1">
      <formula>AND(OR($D$30="No",$D$30="Unknown",$D$30="Not applicable for this declaration"),OR($D$31="No",$D$31="Unknown",$D$31="Not applicable for this declaration"))</formula>
    </cfRule>
  </conditionalFormatting>
  <conditionalFormatting sqref="D120:E120">
    <cfRule type="expression" dxfId="55" priority="153" stopIfTrue="1">
      <formula>IF($B$54="",TRUE)</formula>
    </cfRule>
    <cfRule type="expression" dxfId="54" priority="154" stopIfTrue="1">
      <formula>IF($P$54="",TRUE)</formula>
    </cfRule>
    <cfRule type="expression" dxfId="53" priority="155" stopIfTrue="1">
      <formula>IF(AND(OR($D$42="Yes",$D$42=""),$D$120=""),1,0)</formula>
    </cfRule>
  </conditionalFormatting>
  <conditionalFormatting sqref="D121:E121">
    <cfRule type="expression" dxfId="52" priority="150" stopIfTrue="1">
      <formula>IF($B$55="",TRUE)</formula>
    </cfRule>
    <cfRule type="expression" dxfId="51" priority="151" stopIfTrue="1">
      <formula>IF($P$55="",TRUE)</formula>
    </cfRule>
    <cfRule type="expression" dxfId="50" priority="152" stopIfTrue="1">
      <formula>IF(AND(OR($D$43="Yes",$D$43=""),$D$121=""),1,0)</formula>
    </cfRule>
  </conditionalFormatting>
  <conditionalFormatting sqref="D122:E122">
    <cfRule type="expression" dxfId="49" priority="149" stopIfTrue="1">
      <formula>IF(AND(OR($D$44="Yes",$D$44=""),$D$122=""),1,0)</formula>
    </cfRule>
    <cfRule type="expression" dxfId="48" priority="147" stopIfTrue="1">
      <formula>IF($B$56="",TRUE)</formula>
    </cfRule>
    <cfRule type="expression" dxfId="47" priority="148" stopIfTrue="1">
      <formula>IF($P$56="",TRUE)</formula>
    </cfRule>
  </conditionalFormatting>
  <conditionalFormatting sqref="D123:E123">
    <cfRule type="expression" dxfId="46" priority="146" stopIfTrue="1">
      <formula>IF(AND(OR($D$45="Yes",$D$45=""),$D$123=""),1,0)</formula>
    </cfRule>
    <cfRule type="expression" dxfId="45" priority="145" stopIfTrue="1">
      <formula>IF($P$57="",TRUE)</formula>
    </cfRule>
    <cfRule type="expression" dxfId="44" priority="144" stopIfTrue="1">
      <formula>IF($B$57="",TRUE)</formula>
    </cfRule>
  </conditionalFormatting>
  <conditionalFormatting sqref="D124:E124">
    <cfRule type="expression" dxfId="43" priority="141" stopIfTrue="1">
      <formula>IF($B$58="",TRUE)</formula>
    </cfRule>
    <cfRule type="expression" dxfId="42" priority="143" stopIfTrue="1">
      <formula>IF(AND(OR($D$46="Yes",$D$46=""),$D$124=""),1,0)</formula>
    </cfRule>
    <cfRule type="expression" dxfId="41" priority="142" stopIfTrue="1">
      <formula>IF($P$58="",TRUE)</formula>
    </cfRule>
  </conditionalFormatting>
  <conditionalFormatting sqref="D125:E125">
    <cfRule type="expression" dxfId="40" priority="138" stopIfTrue="1">
      <formula>IF($B$59="",TRUE)</formula>
    </cfRule>
    <cfRule type="expression" dxfId="39" priority="139" stopIfTrue="1">
      <formula>IF($P$59="",TRUE)</formula>
    </cfRule>
    <cfRule type="expression" dxfId="38" priority="140" stopIfTrue="1">
      <formula>IF(AND(OR($D$47="Yes",$D$47=""),$D$125=""),1,0)</formula>
    </cfRule>
  </conditionalFormatting>
  <conditionalFormatting sqref="D126:E126">
    <cfRule type="expression" dxfId="37" priority="137" stopIfTrue="1">
      <formula>IF(AND(OR($D$48="Yes",$D$48=""),$D$126=""),1,0)</formula>
    </cfRule>
    <cfRule type="expression" dxfId="36" priority="135" stopIfTrue="1">
      <formula>IF($B$60="",TRUE)</formula>
    </cfRule>
    <cfRule type="expression" dxfId="35" priority="136" stopIfTrue="1">
      <formula>IF($P$60="",TRUE)</formula>
    </cfRule>
  </conditionalFormatting>
  <conditionalFormatting sqref="D127:E127">
    <cfRule type="expression" dxfId="34" priority="133" stopIfTrue="1">
      <formula>IF($P$61="",TRUE)</formula>
    </cfRule>
    <cfRule type="expression" dxfId="33" priority="132" stopIfTrue="1">
      <formula>IF($B$61="",TRUE)</formula>
    </cfRule>
    <cfRule type="expression" dxfId="32" priority="134" stopIfTrue="1">
      <formula>IF(AND(OR($D$49="Yes",$D$49=""),$D$127=""),1,0)</formula>
    </cfRule>
  </conditionalFormatting>
  <conditionalFormatting sqref="D128:E128">
    <cfRule type="expression" dxfId="31" priority="131" stopIfTrue="1">
      <formula>IF(AND(OR($D$50="Yes",$D$50=""),$D$128=""),1,0)</formula>
    </cfRule>
    <cfRule type="expression" dxfId="30" priority="129" stopIfTrue="1">
      <formula>IF($B$62="",TRUE)</formula>
    </cfRule>
    <cfRule type="expression" dxfId="29" priority="130" stopIfTrue="1">
      <formula>IF($P$62="",TRUE)</formula>
    </cfRule>
  </conditionalFormatting>
  <conditionalFormatting sqref="D129:E129">
    <cfRule type="expression" dxfId="28" priority="128" stopIfTrue="1">
      <formula>IF(AND(OR($D$51="Yes",$D$51=""),$D$129=""),1,0)</formula>
    </cfRule>
    <cfRule type="expression" dxfId="27" priority="127" stopIfTrue="1">
      <formula>IF($P$63="",TRUE)</formula>
    </cfRule>
    <cfRule type="expression" dxfId="26" priority="126" stopIfTrue="1">
      <formula>IF($B$63="",TRUE)</formula>
    </cfRule>
  </conditionalFormatting>
  <conditionalFormatting sqref="D9:G9">
    <cfRule type="expression" dxfId="25" priority="462" stopIfTrue="1">
      <formula>IF($D$9="",TRUE)</formula>
    </cfRule>
  </conditionalFormatting>
  <conditionalFormatting sqref="D8:J8">
    <cfRule type="expression" dxfId="24" priority="461" stopIfTrue="1">
      <formula>IF($D$8="",TRUE)</formula>
    </cfRule>
  </conditionalFormatting>
  <conditionalFormatting sqref="D10:J10">
    <cfRule type="expression" dxfId="23" priority="476" stopIfTrue="1">
      <formula>IF(AND($D$10="",$D$9=$R$9),TRUE)</formula>
    </cfRule>
    <cfRule type="expression" dxfId="22" priority="366" stopIfTrue="1">
      <formula>IF($D$9=$Q$9,TRUE)</formula>
    </cfRule>
  </conditionalFormatting>
  <conditionalFormatting sqref="D19:J19">
    <cfRule type="expression" dxfId="21" priority="319" stopIfTrue="1">
      <formula>IF($D$19="",TRUE)</formula>
    </cfRule>
  </conditionalFormatting>
  <conditionalFormatting sqref="D21:J21">
    <cfRule type="expression" dxfId="20" priority="321" stopIfTrue="1">
      <formula>IF($D$21="",TRUE)</formula>
    </cfRule>
  </conditionalFormatting>
  <conditionalFormatting sqref="D22:J22">
    <cfRule type="expression" dxfId="19" priority="322" stopIfTrue="1">
      <formula>IF($D$22="",TRUE)</formula>
    </cfRule>
  </conditionalFormatting>
  <conditionalFormatting sqref="G133:J133">
    <cfRule type="expression" dxfId="17" priority="316" stopIfTrue="1">
      <formula>IF(AND($D$133="Yes, using other format (describe)",$G$133=""),TRUE)</formula>
    </cfRule>
  </conditionalFormatting>
  <conditionalFormatting sqref="G135:J135">
    <cfRule type="expression" dxfId="16" priority="313">
      <formula>IF(AND($D$135="Yes, using other format (describe)",$G$135=""),TRUE)</formula>
    </cfRule>
  </conditionalFormatting>
  <conditionalFormatting sqref="G117:J117">
    <cfRule type="expression" dxfId="0" priority="1">
      <formula>IF(AND($D$71="Yes",$G$71=""),TRUE)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B8" sqref="B8"/>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4" t="str">
        <f ca="1">OFFSET(L!$C$1,MATCH("Smelter List"&amp;ADDRESS(ROW(),COLUMN(),4),L!$A:$A,0)-1,SL,,)</f>
        <v>Link to "RMAP Conformant Smelter List"</v>
      </c>
      <c r="K2" s="465"/>
      <c r="L2" s="465"/>
      <c r="M2" s="465"/>
      <c r="N2" s="465"/>
      <c r="O2" s="465"/>
      <c r="P2" s="162"/>
      <c r="Q2" s="163"/>
      <c r="R2" s="164"/>
      <c r="S2" s="164"/>
      <c r="T2" s="164"/>
      <c r="AB2" s="312"/>
      <c r="AH2" s="130" t="s">
        <v>25</v>
      </c>
    </row>
    <row r="3" spans="1:34" s="16" customFormat="1" ht="94.2" customHeight="1">
      <c r="A3" s="202"/>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5"/>
      <c r="G3" s="467" t="str">
        <f ca="1">OFFSET(L!$C$1,MATCH("General"&amp;"Cpy",L!$A:$A,0)-1,SL,,)</f>
        <v>© 2025 Responsible Minerals Initiative. All rights reserved.</v>
      </c>
      <c r="H3" s="468"/>
      <c r="I3" s="46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4" customHeight="1">
      <c r="A5" s="198" t="s">
        <v>112</v>
      </c>
      <c r="B5" s="304" t="s">
        <v>40</v>
      </c>
      <c r="C5" s="152" t="s">
        <v>111</v>
      </c>
      <c r="D5" s="149" t="s">
        <v>111</v>
      </c>
      <c r="E5" s="149" t="s">
        <v>65</v>
      </c>
      <c r="F5" s="149" t="s">
        <v>112</v>
      </c>
      <c r="G5" s="149"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0"/>
      <c r="L5" s="150"/>
      <c r="M5" s="150"/>
      <c r="N5" s="150"/>
      <c r="O5" s="150"/>
      <c r="P5" s="209"/>
      <c r="Q5" s="151"/>
      <c r="R5" s="149" t="str">
        <f ca="1">IF(ISERROR($V5),"",OFFSET('Smelter Look-up'!$C$4,$V5-4,0)&amp;"")</f>
        <v>Gem (Jiangsu) Cobalt Industry Co., Ltd.</v>
      </c>
      <c r="S5" s="155" t="str">
        <f t="shared" ref="S5:S12" ca="1" si="0">IF(B5="","",IF(ISERROR(MATCH($E5,CL,0)),"Unknown",INDIRECT("'C'!$A$"&amp;MATCH($E5,CL,0)+1)))</f>
        <v>CN</v>
      </c>
      <c r="T5" s="155" t="str">
        <f ca="1">IF(B5="","",IF(ISERROR(MATCH($J5,SorP!$B$1:$B$6226,0)),"",INDIRECT("'SorP'!$A$"&amp;MATCH($S5&amp;$J5,SorP!C:C,0))))</f>
        <v>CN-JS</v>
      </c>
      <c r="U5" s="168"/>
      <c r="V5" s="169">
        <f>IF(C5="",NA(),MATCH($B5&amp;$C5,'Smelter Look-up'!$J:$J,0))</f>
        <v>36</v>
      </c>
      <c r="X5" s="170">
        <f t="shared" ref="X5:X12" si="1">IF(AND(C5="Smelter not listed",OR(LEN(D5)=0,LEN(E5)=0)),1,0)</f>
        <v>0</v>
      </c>
      <c r="AB5" s="314" t="str">
        <f t="shared" ref="AB5:AB12" si="2">IF(C5="","",B5)</f>
        <v>Cobalt</v>
      </c>
    </row>
    <row r="6" spans="1:34" s="170" customFormat="1" ht="24" customHeight="1">
      <c r="A6" s="198" t="s">
        <v>185</v>
      </c>
      <c r="B6" s="304" t="s">
        <v>40</v>
      </c>
      <c r="C6" s="152" t="s">
        <v>184</v>
      </c>
      <c r="D6" s="149" t="s">
        <v>184</v>
      </c>
      <c r="E6" s="149" t="s">
        <v>65</v>
      </c>
      <c r="F6" s="149" t="s">
        <v>185</v>
      </c>
      <c r="G6" s="149"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0"/>
      <c r="L6" s="150"/>
      <c r="M6" s="150"/>
      <c r="N6" s="150"/>
      <c r="O6" s="150"/>
      <c r="P6" s="209"/>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IF(C6="",NA(),MATCH($B6&amp;$C6,'Smelter Look-up'!$J:$J,0))</f>
        <v>88</v>
      </c>
      <c r="X6" s="170">
        <f t="shared" si="1"/>
        <v>0</v>
      </c>
      <c r="AB6" s="314" t="str">
        <f t="shared" si="2"/>
        <v>Cobalt</v>
      </c>
    </row>
    <row r="7" spans="1:34" s="170" customFormat="1" ht="24" customHeight="1">
      <c r="A7" s="198" t="s">
        <v>306</v>
      </c>
      <c r="B7" s="304" t="s">
        <v>40</v>
      </c>
      <c r="C7" s="152" t="s">
        <v>305</v>
      </c>
      <c r="D7" s="149" t="s">
        <v>305</v>
      </c>
      <c r="E7" s="149" t="s">
        <v>65</v>
      </c>
      <c r="F7" s="149" t="s">
        <v>306</v>
      </c>
      <c r="G7" s="149" t="str">
        <f ca="1">IF(C7=$X$4,"Enter smelter details",IF(ISERROR($V7),"",OFFSET('Smelter Look-up'!$F$4,$V7-4,0)))</f>
        <v>RMI</v>
      </c>
      <c r="H7" s="206">
        <f ca="1">IF(ISERROR($V7),"",OFFSET('Smelter Look-up'!$G$4,$V7-4,0))</f>
        <v>0</v>
      </c>
      <c r="I7" s="207" t="str">
        <f ca="1">IF(ISERROR($V7),"",OFFSET('Smelter Look-up'!$H$4,$V7-4,0))</f>
        <v>Zhuhai</v>
      </c>
      <c r="J7" s="207" t="str">
        <f ca="1">IF(ISERROR($V7),"",OFFSET('Smelter Look-up'!$I$4,$V7-4,0))</f>
        <v>Guangdong Sheng</v>
      </c>
      <c r="K7" s="150"/>
      <c r="L7" s="150"/>
      <c r="M7" s="150"/>
      <c r="N7" s="150"/>
      <c r="O7" s="150"/>
      <c r="P7" s="209"/>
      <c r="Q7" s="151"/>
      <c r="R7" s="149" t="str">
        <f ca="1">IF(ISERROR($V7),"",OFFSET('Smelter Look-up'!$C$4,$V7-4,0)&amp;"")</f>
        <v>Zhuhai Kelixin Metal Materials Co., Ltd.</v>
      </c>
      <c r="S7" s="155" t="str">
        <f t="shared" ca="1" si="0"/>
        <v>CN</v>
      </c>
      <c r="T7" s="155" t="str">
        <f ca="1">IF(B7="","",IF(ISERROR(MATCH($J7,SorP!$B$1:$B$6226,0)),"",INDIRECT("'SorP'!$A$"&amp;MATCH($S7&amp;$J7,SorP!C:C,0))))</f>
        <v>CN-GD</v>
      </c>
      <c r="U7" s="168"/>
      <c r="V7" s="169">
        <f>IF(C7="",NA(),MATCH($B7&amp;$C7,'Smelter Look-up'!$J:$J,0))</f>
        <v>173</v>
      </c>
      <c r="X7" s="170">
        <f t="shared" si="1"/>
        <v>0</v>
      </c>
      <c r="AB7" s="314" t="str">
        <f t="shared" si="2"/>
        <v>Cobalt</v>
      </c>
    </row>
    <row r="8" spans="1:34" s="170" customFormat="1" ht="24" customHeight="1">
      <c r="A8" s="198" t="s">
        <v>110</v>
      </c>
      <c r="B8" s="304" t="s">
        <v>40</v>
      </c>
      <c r="C8" s="152" t="s">
        <v>109</v>
      </c>
      <c r="D8" s="149" t="s">
        <v>109</v>
      </c>
      <c r="E8" s="149" t="s">
        <v>65</v>
      </c>
      <c r="F8" s="149" t="s">
        <v>110</v>
      </c>
      <c r="G8" s="149"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0"/>
      <c r="L8" s="150"/>
      <c r="M8" s="150"/>
      <c r="N8" s="150"/>
      <c r="O8" s="150"/>
      <c r="P8" s="209"/>
      <c r="Q8" s="151"/>
      <c r="R8" s="149" t="str">
        <f ca="1">IF(ISERROR($V8),"",OFFSET('Smelter Look-up'!$C$4,$V8-4,0)&amp;"")</f>
        <v>Ganzhou Tengyuan Cobalt New Material Co., Ltd.</v>
      </c>
      <c r="S8" s="155" t="str">
        <f t="shared" ca="1" si="0"/>
        <v>CN</v>
      </c>
      <c r="T8" s="155" t="str">
        <f ca="1">IF(B8="","",IF(ISERROR(MATCH($J8,SorP!$B$1:$B$6226,0)),"",INDIRECT("'SorP'!$A$"&amp;MATCH($S8&amp;$J8,SorP!C:C,0))))</f>
        <v>CN-JX</v>
      </c>
      <c r="U8" s="168"/>
      <c r="V8" s="169">
        <f>IF(C8="",NA(),MATCH($B8&amp;$C8,'Smelter Look-up'!$J:$J,0))</f>
        <v>35</v>
      </c>
      <c r="X8" s="170">
        <f t="shared" si="1"/>
        <v>0</v>
      </c>
      <c r="AB8" s="314" t="str">
        <f t="shared" si="2"/>
        <v>Cobalt</v>
      </c>
    </row>
    <row r="9" spans="1:34" s="170" customFormat="1" ht="24" customHeight="1">
      <c r="A9" s="198" t="s">
        <v>124</v>
      </c>
      <c r="B9" s="304" t="s">
        <v>40</v>
      </c>
      <c r="C9" s="152" t="s">
        <v>123</v>
      </c>
      <c r="D9" s="149" t="s">
        <v>123</v>
      </c>
      <c r="E9" s="149" t="s">
        <v>65</v>
      </c>
      <c r="F9" s="149" t="s">
        <v>124</v>
      </c>
      <c r="G9" s="149"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0"/>
      <c r="L9" s="150"/>
      <c r="M9" s="150"/>
      <c r="N9" s="150"/>
      <c r="O9" s="150"/>
      <c r="P9" s="209"/>
      <c r="Q9" s="151"/>
      <c r="R9" s="149" t="str">
        <f ca="1">IF(ISERROR($V9),"",OFFSET('Smelter Look-up'!$C$4,$V9-4,0)&amp;"")</f>
        <v>Guangxi Yinyi Advanced Material Co., Ltd.</v>
      </c>
      <c r="S9" s="155" t="str">
        <f t="shared" ca="1" si="0"/>
        <v>CN</v>
      </c>
      <c r="T9" s="155" t="str">
        <f ca="1">IF(B9="","",IF(ISERROR(MATCH($J9,SorP!$B$1:$B$6226,0)),"",INDIRECT("'SorP'!$A$"&amp;MATCH($S9&amp;$J9,SorP!C:C,0))))</f>
        <v>CN-GX</v>
      </c>
      <c r="U9" s="168"/>
      <c r="V9" s="169">
        <f>IF(C9="",NA(),MATCH($B9&amp;$C9,'Smelter Look-up'!$J:$J,0))</f>
        <v>42</v>
      </c>
      <c r="X9" s="170">
        <f t="shared" si="1"/>
        <v>0</v>
      </c>
      <c r="AB9" s="314" t="str">
        <f t="shared" si="2"/>
        <v>Cobalt</v>
      </c>
    </row>
    <row r="10" spans="1:34" s="170" customFormat="1" ht="24" customHeight="1">
      <c r="A10" s="198" t="s">
        <v>195</v>
      </c>
      <c r="B10" s="304" t="s">
        <v>40</v>
      </c>
      <c r="C10" s="152" t="s">
        <v>194</v>
      </c>
      <c r="D10" s="149" t="s">
        <v>194</v>
      </c>
      <c r="E10" s="149" t="s">
        <v>65</v>
      </c>
      <c r="F10" s="149" t="s">
        <v>195</v>
      </c>
      <c r="G10" s="149" t="str">
        <f ca="1">IF(C10=$X$4,"Enter smelter details",IF(ISERROR($V10),"",OFFSET('Smelter Look-up'!$F$4,$V10-4,0)))</f>
        <v>RMI</v>
      </c>
      <c r="H10" s="206">
        <f ca="1">IF(ISERROR($V10),"",OFFSET('Smelter Look-up'!$G$4,$V10-4,0))</f>
        <v>0</v>
      </c>
      <c r="I10" s="207" t="str">
        <f ca="1">IF(ISERROR($V10),"",OFFSET('Smelter Look-up'!$H$4,$V10-4,0))</f>
        <v>Tianjin</v>
      </c>
      <c r="J10" s="207" t="str">
        <f ca="1">IF(ISERROR($V10),"",OFFSET('Smelter Look-up'!$I$4,$V10-4,0))</f>
        <v>Tianjin Shi</v>
      </c>
      <c r="K10" s="150"/>
      <c r="L10" s="150"/>
      <c r="M10" s="150"/>
      <c r="N10" s="150"/>
      <c r="O10" s="150"/>
      <c r="P10" s="209"/>
      <c r="Q10" s="151"/>
      <c r="R10" s="149" t="str">
        <f ca="1">IF(ISERROR($V10),"",OFFSET('Smelter Look-up'!$C$4,$V10-4,0)&amp;"")</f>
        <v>Tianjin Maolian Science &amp; Technology Co., Ltd.</v>
      </c>
      <c r="S10" s="155" t="str">
        <f t="shared" ca="1" si="0"/>
        <v>CN</v>
      </c>
      <c r="T10" s="155" t="str">
        <f ca="1">IF(B10="","",IF(ISERROR(MATCH($J10,SorP!$B$1:$B$6226,0)),"",INDIRECT("'SorP'!$A$"&amp;MATCH($S10&amp;$J10,SorP!C:C,0))))</f>
        <v>CN-TJ</v>
      </c>
      <c r="U10" s="168"/>
      <c r="V10" s="169">
        <f>IF(C10="",NA(),MATCH($B10&amp;$C10,'Smelter Look-up'!$J:$J,0))</f>
        <v>151</v>
      </c>
      <c r="X10" s="170">
        <f t="shared" si="1"/>
        <v>0</v>
      </c>
      <c r="AB10" s="314" t="str">
        <f t="shared" si="2"/>
        <v>Cobalt</v>
      </c>
    </row>
    <row r="11" spans="1:34" s="170" customFormat="1" ht="24" customHeight="1">
      <c r="A11" s="199" t="s">
        <v>301</v>
      </c>
      <c r="B11" s="304" t="s">
        <v>40</v>
      </c>
      <c r="C11" s="152" t="s">
        <v>300</v>
      </c>
      <c r="D11" s="149" t="s">
        <v>300</v>
      </c>
      <c r="E11" s="149" t="s">
        <v>65</v>
      </c>
      <c r="F11" s="149" t="s">
        <v>301</v>
      </c>
      <c r="G11" s="149" t="str">
        <f ca="1">IF(C11=$X$4,"Enter smelter details",IF(ISERROR($V11),"",OFFSET('Smelter Look-up'!$F$4,$V11-4,0)))</f>
        <v>RMI</v>
      </c>
      <c r="H11" s="206">
        <f ca="1">IF(ISERROR($V11),"",OFFSET('Smelter Look-up'!$G$4,$V11-4,0))</f>
        <v>0</v>
      </c>
      <c r="I11" s="207" t="str">
        <f ca="1">IF(ISERROR($V11),"",OFFSET('Smelter Look-up'!$H$4,$V11-4,0))</f>
        <v>Tongxiang</v>
      </c>
      <c r="J11" s="207" t="str">
        <f ca="1">IF(ISERROR($V11),"",OFFSET('Smelter Look-up'!$I$4,$V11-4,0))</f>
        <v>Zhejiang Sheng</v>
      </c>
      <c r="K11" s="150"/>
      <c r="L11" s="150"/>
      <c r="M11" s="150"/>
      <c r="N11" s="150"/>
      <c r="O11" s="150"/>
      <c r="P11" s="209"/>
      <c r="Q11" s="151"/>
      <c r="R11" s="149" t="str">
        <f ca="1">IF(ISERROR($V11),"",OFFSET('Smelter Look-up'!$C$4,$V11-4,0)&amp;"")</f>
        <v>Zhejiang Huayou Cobalt Company Limited</v>
      </c>
      <c r="S11" s="155" t="str">
        <f t="shared" ca="1" si="0"/>
        <v>CN</v>
      </c>
      <c r="T11" s="155" t="str">
        <f ca="1">IF(B11="","",IF(ISERROR(MATCH($J11,SorP!$B$1:$B$6226,0)),"",INDIRECT("'SorP'!$A$"&amp;MATCH($S11&amp;$J11,SorP!C:C,0))))</f>
        <v>CN-ZJ</v>
      </c>
      <c r="U11" s="168"/>
      <c r="V11" s="169">
        <f>IF(C11="",NA(),MATCH($B11&amp;$C11,'Smelter Look-up'!$J:$J,0))</f>
        <v>170</v>
      </c>
      <c r="X11" s="170">
        <f t="shared" si="1"/>
        <v>0</v>
      </c>
      <c r="AB11" s="314" t="str">
        <f t="shared" si="2"/>
        <v>Cobalt</v>
      </c>
    </row>
    <row r="12" spans="1:34" s="170" customFormat="1" ht="24" customHeight="1">
      <c r="A12" s="198" t="s">
        <v>102</v>
      </c>
      <c r="B12" s="304" t="s">
        <v>40</v>
      </c>
      <c r="C12" s="152" t="s">
        <v>100</v>
      </c>
      <c r="D12" s="149" t="s">
        <v>100</v>
      </c>
      <c r="E12" s="149" t="s">
        <v>101</v>
      </c>
      <c r="F12" s="149" t="s">
        <v>102</v>
      </c>
      <c r="G12" s="149" t="str">
        <f ca="1">IF(C12=$X$4,"Enter smelter details",IF(ISERROR($V12),"",OFFSET('Smelter Look-up'!$F$4,$V12-4,0)))</f>
        <v>RMI</v>
      </c>
      <c r="H12" s="206">
        <f ca="1">IF(ISERROR($V12),"",OFFSET('Smelter Look-up'!$G$4,$V12-4,0))</f>
        <v>0</v>
      </c>
      <c r="I12" s="207" t="str">
        <f ca="1">IF(ISERROR($V12),"",OFFSET('Smelter Look-up'!$H$4,$V12-4,0))</f>
        <v>Kokkola</v>
      </c>
      <c r="J12" s="207" t="str">
        <f ca="1">IF(ISERROR($V12),"",OFFSET('Smelter Look-up'!$I$4,$V12-4,0))</f>
        <v>Mellersta Österbotten</v>
      </c>
      <c r="K12" s="150"/>
      <c r="L12" s="150"/>
      <c r="M12" s="150"/>
      <c r="N12" s="150"/>
      <c r="O12" s="150"/>
      <c r="P12" s="209"/>
      <c r="Q12" s="151"/>
      <c r="R12" s="149" t="str">
        <f ca="1">IF(ISERROR($V12),"",OFFSET('Smelter Look-up'!$C$4,$V12-4,0)&amp;"")</f>
        <v>Umicore Finland Oy</v>
      </c>
      <c r="S12" s="155" t="str">
        <f t="shared" ca="1" si="0"/>
        <v>FI</v>
      </c>
      <c r="T12" s="155" t="str">
        <f ca="1">IF(B12="","",IF(ISERROR(MATCH($J12,SorP!$B$1:$B$6226,0)),"",INDIRECT("'SorP'!$A$"&amp;MATCH($S12&amp;$J12,SorP!C:C,0))))</f>
        <v>FI-07</v>
      </c>
      <c r="U12" s="168"/>
      <c r="V12" s="169">
        <f>IF(C12="",NA(),MATCH($B12&amp;$C12,'Smelter Look-up'!$J:$J,0))</f>
        <v>152</v>
      </c>
      <c r="X12" s="170">
        <f t="shared" si="1"/>
        <v>0</v>
      </c>
      <c r="AB12" s="314" t="str">
        <f t="shared" si="2"/>
        <v>Cobalt</v>
      </c>
    </row>
    <row r="13" spans="1:34" s="170" customFormat="1" ht="24" customHeight="1">
      <c r="A13" s="198" t="s">
        <v>278</v>
      </c>
      <c r="B13" s="304" t="s">
        <v>40</v>
      </c>
      <c r="C13" s="152" t="s">
        <v>276</v>
      </c>
      <c r="D13" s="149" t="s">
        <v>276</v>
      </c>
      <c r="E13" s="149" t="s">
        <v>277</v>
      </c>
      <c r="F13" s="149" t="s">
        <v>278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t="shared" ref="S13:S63" ca="1" si="3">IF(B13="","",IF(ISERROR(MATCH($E13,CL,0)),"Unknown",INDIRECT("'C'!$A$"&amp;MATCH($E13,CL,0)+1)))</f>
        <v>BE</v>
      </c>
      <c r="T13" s="155" t="str">
        <f ca="1">IF(B13="","",IF(ISERROR(MATCH($J13,SorP!$B$1:$B$6226,0)),"",INDIRECT("'SorP'!$A$"&amp;MATCH($S13&amp;$J13,SorP!C:C,0))))</f>
        <v>BE-VAN</v>
      </c>
      <c r="U13" s="168"/>
      <c r="V13" s="169">
        <f>IF(C13="",NA(),MATCH($B13&amp;$C13,'Smelter Look-up'!$J:$J,0))</f>
        <v>153</v>
      </c>
      <c r="X13" s="170">
        <f t="shared" ref="X13:X62" si="4">IF(AND(C13="Smelter not listed",OR(LEN(D13)=0,LEN(E13)=0)),1,0)</f>
        <v>0</v>
      </c>
      <c r="AB13" s="314" t="str">
        <f t="shared" ref="AB13:AB69" si="5">IF(C13="","",B13)</f>
        <v>Cobalt</v>
      </c>
    </row>
    <row r="14" spans="1:34" s="170" customFormat="1" ht="24" customHeight="1">
      <c r="A14" s="199" t="s">
        <v>88</v>
      </c>
      <c r="B14" s="304" t="s">
        <v>40</v>
      </c>
      <c r="C14" s="152" t="s">
        <v>86</v>
      </c>
      <c r="D14" s="149" t="s">
        <v>86</v>
      </c>
      <c r="E14" s="149" t="s">
        <v>87</v>
      </c>
      <c r="F14" s="149" t="s">
        <v>88</v>
      </c>
      <c r="G14" s="149" t="str">
        <f ca="1">IF(C14=$X$4,"Enter smelter details",IF(ISERROR($V14),"",OFFSET('Smelter Look-up'!$F$4,$V14-4,0)))</f>
        <v>RMI</v>
      </c>
      <c r="H14" s="206">
        <f ca="1">IF(ISERROR($V14),"",OFFSET('Smelter Look-up'!$G$4,$V14-4,0))</f>
        <v>0</v>
      </c>
      <c r="I14" s="207" t="str">
        <f ca="1">IF(ISERROR($V14),"",OFFSET('Smelter Look-up'!$H$4,$V14-4,0))</f>
        <v>Toamasina</v>
      </c>
      <c r="J14" s="207" t="str">
        <f ca="1">IF(ISERROR($V14),"",OFFSET('Smelter Look-up'!$I$4,$V14-4,0))</f>
        <v>Toamasina</v>
      </c>
      <c r="K14" s="150"/>
      <c r="L14" s="150"/>
      <c r="M14" s="150"/>
      <c r="N14" s="150"/>
      <c r="O14" s="150"/>
      <c r="P14" s="209"/>
      <c r="Q14" s="151"/>
      <c r="R14" s="149" t="str">
        <f ca="1">IF(ISERROR($V14),"",OFFSET('Smelter Look-up'!$C$4,$V14-4,0)&amp;"")</f>
        <v>Dynatec Madagascar Company</v>
      </c>
      <c r="S14" s="155" t="str">
        <f t="shared" ca="1" si="3"/>
        <v>MG</v>
      </c>
      <c r="T14" s="155" t="str">
        <f ca="1">IF(B14="","",IF(ISERROR(MATCH($J14,SorP!$B$1:$B$6226,0)),"",INDIRECT("'SorP'!$A$"&amp;MATCH($S14&amp;$J14,SorP!C:C,0))))</f>
        <v>MG-A</v>
      </c>
      <c r="U14" s="168"/>
      <c r="V14" s="169">
        <f>IF(C14="",NA(),MATCH($B14&amp;$C14,'Smelter Look-up'!$J:$J,0))</f>
        <v>21</v>
      </c>
      <c r="X14" s="170">
        <f t="shared" si="4"/>
        <v>0</v>
      </c>
      <c r="AB14" s="314" t="str">
        <f t="shared" si="5"/>
        <v>Cobalt</v>
      </c>
    </row>
    <row r="15" spans="1:34" s="170" customFormat="1" ht="24" customHeight="1">
      <c r="A15" s="199" t="s">
        <v>250</v>
      </c>
      <c r="B15" s="304" t="s">
        <v>40</v>
      </c>
      <c r="C15" s="152" t="s">
        <v>249</v>
      </c>
      <c r="D15" s="149" t="s">
        <v>249</v>
      </c>
      <c r="E15" s="149" t="s">
        <v>95</v>
      </c>
      <c r="F15" s="149" t="s">
        <v>250</v>
      </c>
      <c r="G15" s="149" t="str">
        <f ca="1">IF(C15=$X$4,"Enter smelter details",IF(ISERROR($V15),"",OFFSET('Smelter Look-up'!$F$4,$V15-4,0)))</f>
        <v>RMI</v>
      </c>
      <c r="H15" s="206">
        <f ca="1">IF(ISERROR($V15),"",OFFSET('Smelter Look-up'!$G$4,$V15-4,0))</f>
        <v>0</v>
      </c>
      <c r="I15" s="207" t="str">
        <f ca="1">IF(ISERROR($V15),"",OFFSET('Smelter Look-up'!$H$4,$V15-4,0))</f>
        <v>Port Colborne</v>
      </c>
      <c r="J15" s="207" t="str">
        <f ca="1">IF(ISERROR($V15),"",OFFSET('Smelter Look-up'!$I$4,$V15-4,0))</f>
        <v>Ontario</v>
      </c>
      <c r="K15" s="150"/>
      <c r="L15" s="150"/>
      <c r="M15" s="150"/>
      <c r="N15" s="150"/>
      <c r="O15" s="150"/>
      <c r="P15" s="209"/>
      <c r="Q15" s="151"/>
      <c r="R15" s="149" t="str">
        <f ca="1">IF(ISERROR($V15),"",OFFSET('Smelter Look-up'!$C$4,$V15-4,0)&amp;"")</f>
        <v>Port Colborne Refinery</v>
      </c>
      <c r="S15" s="155" t="str">
        <f t="shared" ca="1" si="3"/>
        <v>CA</v>
      </c>
      <c r="T15" s="155" t="str">
        <f ca="1">IF(B15="","",IF(ISERROR(MATCH($J15,SorP!$B$1:$B$6226,0)),"",INDIRECT("'SorP'!$A$"&amp;MATCH($S15&amp;$J15,SorP!C:C,0))))</f>
        <v>CA-ON</v>
      </c>
      <c r="U15" s="168"/>
      <c r="V15" s="169">
        <f>IF(C15="",NA(),MATCH($B15&amp;$C15,'Smelter Look-up'!$J:$J,0))</f>
        <v>125</v>
      </c>
      <c r="X15" s="170">
        <f t="shared" si="4"/>
        <v>0</v>
      </c>
      <c r="AB15" s="314" t="str">
        <f t="shared" si="5"/>
        <v>Cobalt</v>
      </c>
    </row>
    <row r="16" spans="1:34" s="170" customFormat="1" ht="24" customHeight="1">
      <c r="A16" s="198" t="s">
        <v>258</v>
      </c>
      <c r="B16" s="304" t="s">
        <v>40</v>
      </c>
      <c r="C16" s="152" t="s">
        <v>257</v>
      </c>
      <c r="D16" s="149" t="s">
        <v>257</v>
      </c>
      <c r="E16" s="149" t="s">
        <v>65</v>
      </c>
      <c r="F16" s="149" t="s">
        <v>258</v>
      </c>
      <c r="G16" s="149" t="str">
        <f ca="1">IF(C16=$X$4,"Enter smelter details",IF(ISERROR($V16),"",OFFSET('Smelter Look-up'!$F$4,$V16-4,0)))</f>
        <v>RMI</v>
      </c>
      <c r="H16" s="206">
        <f ca="1">IF(ISERROR($V16),"",OFFSET('Smelter Look-up'!$G$4,$V16-4,0))</f>
        <v>0</v>
      </c>
      <c r="I16" s="207" t="str">
        <f ca="1">IF(ISERROR($V16),"",OFFSET('Smelter Look-up'!$H$4,$V16-4,0))</f>
        <v>Quzhou</v>
      </c>
      <c r="J16" s="207" t="str">
        <f ca="1">IF(ISERROR($V16),"",OFFSET('Smelter Look-up'!$I$4,$V16-4,0))</f>
        <v>Zhejiang Sheng</v>
      </c>
      <c r="K16" s="150"/>
      <c r="L16" s="150"/>
      <c r="M16" s="150"/>
      <c r="N16" s="150"/>
      <c r="O16" s="150"/>
      <c r="P16" s="209"/>
      <c r="Q16" s="151"/>
      <c r="R16" s="149" t="str">
        <f ca="1">IF(ISERROR($V16),"",OFFSET('Smelter Look-up'!$C$4,$V16-4,0)&amp;"")</f>
        <v>Quzhou Huayou Cobalt New Material Co., Ltd.</v>
      </c>
      <c r="S16" s="155" t="str">
        <f t="shared" ca="1" si="3"/>
        <v>CN</v>
      </c>
      <c r="T16" s="155" t="str">
        <f ca="1">IF(B16="","",IF(ISERROR(MATCH($J16,SorP!$B$1:$B$6226,0)),"",INDIRECT("'SorP'!$A$"&amp;MATCH($S16&amp;$J16,SorP!C:C,0))))</f>
        <v>CN-ZJ</v>
      </c>
      <c r="U16" s="168"/>
      <c r="V16" s="169">
        <f>IF(C16="",NA(),MATCH($B16&amp;$C16,'Smelter Look-up'!$J:$J,0))</f>
        <v>133</v>
      </c>
      <c r="X16" s="170">
        <f t="shared" si="4"/>
        <v>0</v>
      </c>
      <c r="AB16" s="314" t="str">
        <f t="shared" si="5"/>
        <v>Cobalt</v>
      </c>
    </row>
    <row r="17" spans="1:28" s="170" customFormat="1" ht="24" customHeight="1">
      <c r="A17" s="198" t="s">
        <v>178</v>
      </c>
      <c r="B17" s="304" t="s">
        <v>40</v>
      </c>
      <c r="C17" s="152" t="s">
        <v>177</v>
      </c>
      <c r="D17" s="149" t="s">
        <v>177</v>
      </c>
      <c r="E17" s="149" t="s">
        <v>60</v>
      </c>
      <c r="F17" s="149" t="s">
        <v>178</v>
      </c>
      <c r="G17" s="149" t="str">
        <f ca="1">IF(C17=$X$4,"Enter smelter details",IF(ISERROR($V17),"",OFFSET('Smelter Look-up'!$F$4,$V17-4,0)))</f>
        <v>RMI</v>
      </c>
      <c r="H17" s="206">
        <f ca="1">IF(ISERROR($V17),"",OFFSET('Smelter Look-up'!$G$4,$V17-4,0))</f>
        <v>0</v>
      </c>
      <c r="I17" s="207" t="str">
        <f ca="1">IF(ISERROR($V17),"",OFFSET('Smelter Look-up'!$H$4,$V17-4,0))</f>
        <v>Kolwezi</v>
      </c>
      <c r="J17" s="207" t="str">
        <f ca="1">IF(ISERROR($V17),"",OFFSET('Smelter Look-up'!$I$4,$V17-4,0))</f>
        <v>Lualaba</v>
      </c>
      <c r="K17" s="150"/>
      <c r="L17" s="150"/>
      <c r="M17" s="150"/>
      <c r="N17" s="150"/>
      <c r="O17" s="150"/>
      <c r="P17" s="209"/>
      <c r="Q17" s="151"/>
      <c r="R17" s="149" t="str">
        <f ca="1">IF(ISERROR($V17),"",OFFSET('Smelter Look-up'!$C$4,$V17-4,0)&amp;"")</f>
        <v>Kamoto Copper Company</v>
      </c>
      <c r="S17" s="155" t="str">
        <f t="shared" ca="1" si="3"/>
        <v>CD</v>
      </c>
      <c r="T17" s="155" t="str">
        <f ca="1">IF(B17="","",IF(ISERROR(MATCH($J17,SorP!$B$1:$B$6226,0)),"",INDIRECT("'SorP'!$A$"&amp;MATCH($S17&amp;$J17,SorP!C:C,0))))</f>
        <v>CD-LU</v>
      </c>
      <c r="U17" s="168"/>
      <c r="V17" s="169">
        <f>IF(C17="",NA(),MATCH($B17&amp;$C17,'Smelter Look-up'!$J:$J,0))</f>
        <v>76</v>
      </c>
      <c r="X17" s="170">
        <f t="shared" si="4"/>
        <v>0</v>
      </c>
      <c r="AB17" s="314" t="str">
        <f t="shared" si="5"/>
        <v>Cobalt</v>
      </c>
    </row>
    <row r="18" spans="1:28" s="170" customFormat="1" ht="24" customHeight="1">
      <c r="A18" s="198" t="s">
        <v>239</v>
      </c>
      <c r="B18" s="304" t="s">
        <v>40</v>
      </c>
      <c r="C18" s="152" t="s">
        <v>12059</v>
      </c>
      <c r="D18" s="149" t="s">
        <v>12059</v>
      </c>
      <c r="E18" s="149" t="s">
        <v>133</v>
      </c>
      <c r="F18" s="149" t="s">
        <v>239</v>
      </c>
      <c r="G18" s="149" t="str">
        <f ca="1">IF(C18=$X$4,"Enter smelter details",IF(ISERROR($V18),"",OFFSET('Smelter Look-up'!$F$4,$V18-4,0)))</f>
        <v>RMI</v>
      </c>
      <c r="H18" s="206">
        <f ca="1">IF(ISERROR($V18),"",OFFSET('Smelter Look-up'!$G$4,$V18-4,0))</f>
        <v>0</v>
      </c>
      <c r="I18" s="207" t="str">
        <f ca="1">IF(ISERROR($V18),"",OFFSET('Smelter Look-up'!$H$4,$V18-4,0))</f>
        <v>Niihama</v>
      </c>
      <c r="J18" s="207" t="str">
        <f ca="1">IF(ISERROR($V18),"",OFFSET('Smelter Look-up'!$I$4,$V18-4,0))</f>
        <v>Ehime</v>
      </c>
      <c r="K18" s="150"/>
      <c r="L18" s="150"/>
      <c r="M18" s="150"/>
      <c r="N18" s="150"/>
      <c r="O18" s="150"/>
      <c r="P18" s="209"/>
      <c r="Q18" s="151"/>
      <c r="R18" s="149" t="str">
        <f ca="1">IF(ISERROR($V18),"",OFFSET('Smelter Look-up'!$C$4,$V18-4,0)&amp;"")</f>
        <v>Niihama Nickel Refinery, Sumitomo Metal Mining</v>
      </c>
      <c r="S18" s="155" t="str">
        <f t="shared" ca="1" si="3"/>
        <v>JP</v>
      </c>
      <c r="T18" s="155" t="str">
        <f ca="1">IF(B18="","",IF(ISERROR(MATCH($J18,SorP!$B$1:$B$6226,0)),"",INDIRECT("'SorP'!$A$"&amp;MATCH($S18&amp;$J18,SorP!C:C,0))))</f>
        <v>JP-38</v>
      </c>
      <c r="U18" s="168"/>
      <c r="V18" s="169">
        <f>IF(C18="",NA(),MATCH($B18&amp;$C18,'Smelter Look-up'!$J:$J,0))</f>
        <v>122</v>
      </c>
      <c r="X18" s="170">
        <f t="shared" si="4"/>
        <v>0</v>
      </c>
      <c r="AB18" s="314" t="str">
        <f t="shared" si="5"/>
        <v>Cobalt</v>
      </c>
    </row>
    <row r="19" spans="1:28" s="170" customFormat="1" ht="24" customHeight="1">
      <c r="A19" s="198" t="s">
        <v>72</v>
      </c>
      <c r="B19" s="304" t="s">
        <v>40</v>
      </c>
      <c r="C19" s="152" t="s">
        <v>70</v>
      </c>
      <c r="D19" s="149" t="s">
        <v>70</v>
      </c>
      <c r="E19" s="149" t="s">
        <v>71</v>
      </c>
      <c r="F19" s="149" t="s">
        <v>72</v>
      </c>
      <c r="G19" s="149" t="str">
        <f ca="1">IF(C19=$X$4,"Enter smelter details",IF(ISERROR($V19),"",OFFSET('Smelter Look-up'!$F$4,$V19-4,0)))</f>
        <v>RMI</v>
      </c>
      <c r="H19" s="206">
        <f ca="1">IF(ISERROR($V19),"",OFFSET('Smelter Look-up'!$G$4,$V19-4,0))</f>
        <v>0</v>
      </c>
      <c r="I19" s="207" t="str">
        <f ca="1">IF(ISERROR($V19),"",OFFSET('Smelter Look-up'!$H$4,$V19-4,0))</f>
        <v>Marrakech</v>
      </c>
      <c r="J19" s="207" t="str">
        <f ca="1">IF(ISERROR($V19),"",OFFSET('Smelter Look-up'!$I$4,$V19-4,0))</f>
        <v>Marrakech-Safi</v>
      </c>
      <c r="K19" s="150"/>
      <c r="L19" s="150"/>
      <c r="M19" s="150"/>
      <c r="N19" s="150"/>
      <c r="O19" s="150"/>
      <c r="P19" s="209"/>
      <c r="Q19" s="151"/>
      <c r="R19" s="149" t="str">
        <f ca="1">IF(ISERROR($V19),"",OFFSET('Smelter Look-up'!$C$4,$V19-4,0)&amp;"")</f>
        <v>Compagnie de Tifnout Tiranimine</v>
      </c>
      <c r="S19" s="155" t="str">
        <f t="shared" ca="1" si="3"/>
        <v>MA</v>
      </c>
      <c r="T19" s="155" t="str">
        <f ca="1">IF(B19="","",IF(ISERROR(MATCH($J19,SorP!$B$1:$B$6226,0)),"",INDIRECT("'SorP'!$A$"&amp;MATCH($S19&amp;$J19,SorP!C:C,0))))</f>
        <v>MA-07</v>
      </c>
      <c r="U19" s="168"/>
      <c r="V19" s="169">
        <f>IF(C19="",NA(),MATCH($B19&amp;$C19,'Smelter Look-up'!$J:$J,0))</f>
        <v>12</v>
      </c>
      <c r="X19" s="170">
        <f t="shared" si="4"/>
        <v>0</v>
      </c>
      <c r="AB19" s="314" t="str">
        <f t="shared" si="5"/>
        <v>Cobalt</v>
      </c>
    </row>
    <row r="20" spans="1:28" s="170" customFormat="1" ht="24" customHeight="1">
      <c r="A20" s="199" t="s">
        <v>120</v>
      </c>
      <c r="B20" s="304" t="s">
        <v>40</v>
      </c>
      <c r="C20" s="152" t="s">
        <v>119</v>
      </c>
      <c r="D20" s="149" t="s">
        <v>119</v>
      </c>
      <c r="E20" s="149" t="s">
        <v>65</v>
      </c>
      <c r="F20" s="149" t="s">
        <v>120</v>
      </c>
      <c r="G20" s="149" t="str">
        <f ca="1">IF(C20=$X$4,"Enter smelter details",IF(ISERROR($V20),"",OFFSET('Smelter Look-up'!$F$4,$V20-4,0)))</f>
        <v>RMI</v>
      </c>
      <c r="H20" s="206">
        <f ca="1">IF(ISERROR($V20),"",OFFSET('Smelter Look-up'!$G$4,$V20-4,0))</f>
        <v>0</v>
      </c>
      <c r="I20" s="207" t="str">
        <f ca="1">IF(ISERROR($V20),"",OFFSET('Smelter Look-up'!$H$4,$V20-4,0))</f>
        <v>Guangzhou</v>
      </c>
      <c r="J20" s="207" t="str">
        <f ca="1">IF(ISERROR($V20),"",OFFSET('Smelter Look-up'!$I$4,$V20-4,0))</f>
        <v>Guangdong Sheng</v>
      </c>
      <c r="K20" s="150"/>
      <c r="L20" s="150"/>
      <c r="M20" s="150"/>
      <c r="N20" s="150"/>
      <c r="O20" s="150"/>
      <c r="P20" s="209"/>
      <c r="Q20" s="151"/>
      <c r="R20" s="149" t="str">
        <f ca="1">IF(ISERROR($V20),"",OFFSET('Smelter Look-up'!$C$4,$V20-4,0)&amp;"")</f>
        <v>Guangdong Jiana Energy Technology Co., Ltd.</v>
      </c>
      <c r="S20" s="155" t="str">
        <f t="shared" ca="1" si="3"/>
        <v>CN</v>
      </c>
      <c r="T20" s="155" t="str">
        <f ca="1">IF(B20="","",IF(ISERROR(MATCH($J20,SorP!$B$1:$B$6226,0)),"",INDIRECT("'SorP'!$A$"&amp;MATCH($S20&amp;$J20,SorP!C:C,0))))</f>
        <v>CN-GD</v>
      </c>
      <c r="U20" s="168"/>
      <c r="V20" s="169">
        <f>IF(C20="",NA(),MATCH($B20&amp;$C20,'Smelter Look-up'!$J:$J,0))</f>
        <v>40</v>
      </c>
      <c r="X20" s="170">
        <f t="shared" si="4"/>
        <v>0</v>
      </c>
      <c r="AB20" s="314" t="str">
        <f t="shared" si="5"/>
        <v>Cobalt</v>
      </c>
    </row>
    <row r="21" spans="1:28" s="170" customFormat="1" ht="24" customHeight="1">
      <c r="A21" s="198" t="s">
        <v>164</v>
      </c>
      <c r="B21" s="304" t="s">
        <v>40</v>
      </c>
      <c r="C21" s="152" t="s">
        <v>163</v>
      </c>
      <c r="D21" s="149" t="s">
        <v>163</v>
      </c>
      <c r="E21" s="149" t="s">
        <v>65</v>
      </c>
      <c r="F21" s="149" t="s">
        <v>164</v>
      </c>
      <c r="G21" s="149" t="str">
        <f ca="1">IF(C21=$X$4,"Enter smelter details",IF(ISERROR($V21),"",OFFSET('Smelter Look-up'!$F$4,$V21-4,0)))</f>
        <v>RMI</v>
      </c>
      <c r="H21" s="206">
        <f ca="1">IF(ISERROR($V21),"",OFFSET('Smelter Look-up'!$G$4,$V21-4,0))</f>
        <v>0</v>
      </c>
      <c r="I21" s="207" t="str">
        <f ca="1">IF(ISERROR($V21),"",OFFSET('Smelter Look-up'!$H$4,$V21-4,0))</f>
        <v>Haimen</v>
      </c>
      <c r="J21" s="207" t="str">
        <f ca="1">IF(ISERROR($V21),"",OFFSET('Smelter Look-up'!$I$4,$V21-4,0))</f>
        <v>Jiangsu Sheng</v>
      </c>
      <c r="K21" s="150"/>
      <c r="L21" s="150"/>
      <c r="M21" s="150"/>
      <c r="N21" s="150"/>
      <c r="O21" s="150"/>
      <c r="P21" s="209"/>
      <c r="Q21" s="151"/>
      <c r="R21" s="149" t="str">
        <f ca="1">IF(ISERROR($V21),"",OFFSET('Smelter Look-up'!$C$4,$V21-4,0)&amp;"")</f>
        <v>Jiangsu Xiongfeng Technology Co., Ltd.</v>
      </c>
      <c r="S21" s="155" t="str">
        <f t="shared" ca="1" si="3"/>
        <v>CN</v>
      </c>
      <c r="T21" s="155" t="str">
        <f ca="1">IF(B21="","",IF(ISERROR(MATCH($J21,SorP!$B$1:$B$6226,0)),"",INDIRECT("'SorP'!$A$"&amp;MATCH($S21&amp;$J21,SorP!C:C,0))))</f>
        <v>CN-JS</v>
      </c>
      <c r="U21" s="168"/>
      <c r="V21" s="169">
        <f>IF(C21="",NA(),MATCH($B21&amp;$C21,'Smelter Look-up'!$J:$J,0))</f>
        <v>68</v>
      </c>
      <c r="X21" s="170">
        <f t="shared" si="4"/>
        <v>0</v>
      </c>
      <c r="AB21" s="314" t="str">
        <f t="shared" si="5"/>
        <v>Cobalt</v>
      </c>
    </row>
    <row r="22" spans="1:28" s="170" customFormat="1" ht="24" customHeight="1">
      <c r="A22" s="198" t="s">
        <v>269</v>
      </c>
      <c r="B22" s="304" t="s">
        <v>40</v>
      </c>
      <c r="C22" s="152" t="s">
        <v>20059</v>
      </c>
      <c r="D22" s="149" t="s">
        <v>20059</v>
      </c>
      <c r="E22" s="149" t="s">
        <v>81</v>
      </c>
      <c r="F22" s="149" t="s">
        <v>269</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KR</v>
      </c>
      <c r="T22" s="155" t="str">
        <f ca="1">IF(B22="","",IF(ISERROR(MATCH($J22,SorP!$B$1:$B$6226,0)),"",INDIRECT("'SorP'!$A$"&amp;MATCH($S22&amp;$J22,SorP!C:C,0))))</f>
        <v/>
      </c>
      <c r="U22" s="168"/>
      <c r="V22" s="169" t="e">
        <f>IF(C22="",NA(),MATCH($B22&amp;$C22,'Smelter Look-up'!$J:$J,0))</f>
        <v>#N/A</v>
      </c>
      <c r="X22" s="170">
        <f t="shared" si="4"/>
        <v>0</v>
      </c>
      <c r="AB22" s="314" t="str">
        <f t="shared" si="5"/>
        <v>Cobalt</v>
      </c>
    </row>
    <row r="23" spans="1:28" s="170" customFormat="1" ht="24" customHeight="1">
      <c r="A23" s="198" t="s">
        <v>166</v>
      </c>
      <c r="B23" s="304" t="s">
        <v>40</v>
      </c>
      <c r="C23" s="152" t="s">
        <v>12263</v>
      </c>
      <c r="D23" s="149" t="s">
        <v>12263</v>
      </c>
      <c r="E23" s="149" t="s">
        <v>65</v>
      </c>
      <c r="F23" s="149" t="s">
        <v>166</v>
      </c>
      <c r="G23" s="149" t="str">
        <f ca="1">IF(C23=$X$4,"Enter smelter details",IF(ISERROR($V23),"",OFFSET('Smelter Look-up'!$F$4,$V23-4,0)))</f>
        <v>RMI</v>
      </c>
      <c r="H23" s="206">
        <f ca="1">IF(ISERROR($V23),"",OFFSET('Smelter Look-up'!$G$4,$V23-4,0))</f>
        <v>0</v>
      </c>
      <c r="I23" s="207" t="str">
        <f ca="1">IF(ISERROR($V23),"",OFFSET('Smelter Look-up'!$H$4,$V23-4,0))</f>
        <v>Ganzhou</v>
      </c>
      <c r="J23" s="207" t="str">
        <f ca="1">IF(ISERROR($V23),"",OFFSET('Smelter Look-up'!$I$4,$V23-4,0))</f>
        <v>Jiangxi Sheng</v>
      </c>
      <c r="K23" s="150"/>
      <c r="L23" s="150"/>
      <c r="M23" s="150"/>
      <c r="N23" s="150"/>
      <c r="O23" s="150"/>
      <c r="P23" s="209"/>
      <c r="Q23" s="151"/>
      <c r="R23" s="149" t="str">
        <f ca="1">IF(ISERROR($V23),"",OFFSET('Smelter Look-up'!$C$4,$V23-4,0)&amp;"")</f>
        <v>Jiangxi Jiangwu Cobalt Industrial Co., Ltd.</v>
      </c>
      <c r="S23" s="155" t="str">
        <f t="shared" ca="1" si="3"/>
        <v>CN</v>
      </c>
      <c r="T23" s="155" t="str">
        <f ca="1">IF(B23="","",IF(ISERROR(MATCH($J23,SorP!$B$1:$B$6226,0)),"",INDIRECT("'SorP'!$A$"&amp;MATCH($S23&amp;$J23,SorP!C:C,0))))</f>
        <v>CN-JX</v>
      </c>
      <c r="U23" s="168"/>
      <c r="V23" s="169">
        <f>IF(C23="",NA(),MATCH($B23&amp;$C23,'Smelter Look-up'!$J:$J,0))</f>
        <v>69</v>
      </c>
      <c r="X23" s="170">
        <f t="shared" si="4"/>
        <v>0</v>
      </c>
      <c r="AB23" s="314" t="str">
        <f t="shared" si="5"/>
        <v>Cobalt</v>
      </c>
    </row>
    <row r="24" spans="1:28" s="170" customFormat="1" ht="24" customHeight="1">
      <c r="A24" s="155" t="s">
        <v>169</v>
      </c>
      <c r="B24" s="304" t="s">
        <v>40</v>
      </c>
      <c r="C24" s="152" t="s">
        <v>168</v>
      </c>
      <c r="D24" s="149" t="s">
        <v>168</v>
      </c>
      <c r="E24" s="149" t="s">
        <v>65</v>
      </c>
      <c r="F24" s="149" t="s">
        <v>169</v>
      </c>
      <c r="G24" s="149" t="str">
        <f ca="1">IF(C24=$X$4,"Enter smelter details",IF(ISERROR($V24),"",OFFSET('Smelter Look-up'!$F$4,$V24-4,0)))</f>
        <v>RMI</v>
      </c>
      <c r="H24" s="206">
        <f ca="1">IF(ISERROR($V24),"",OFFSET('Smelter Look-up'!$G$4,$V24-4,0))</f>
        <v>0</v>
      </c>
      <c r="I24" s="207" t="str">
        <f ca="1">IF(ISERROR($V24),"",OFFSET('Smelter Look-up'!$H$4,$V24-4,0))</f>
        <v>Jingmen</v>
      </c>
      <c r="J24" s="207" t="str">
        <f ca="1">IF(ISERROR($V24),"",OFFSET('Smelter Look-up'!$I$4,$V24-4,0))</f>
        <v>Hubei Sheng</v>
      </c>
      <c r="K24" s="150"/>
      <c r="L24" s="150"/>
      <c r="M24" s="150"/>
      <c r="N24" s="150"/>
      <c r="O24" s="150"/>
      <c r="P24" s="209"/>
      <c r="Q24" s="151"/>
      <c r="R24" s="149" t="str">
        <f ca="1">IF(ISERROR($V24),"",OFFSET('Smelter Look-up'!$C$4,$V24-4,0)&amp;"")</f>
        <v>Jingmen GEM Co., Ltd.</v>
      </c>
      <c r="S24" s="155" t="str">
        <f t="shared" ca="1" si="3"/>
        <v>CN</v>
      </c>
      <c r="T24" s="155" t="str">
        <f ca="1">IF(B24="","",IF(ISERROR(MATCH($J24,SorP!$B$1:$B$6226,0)),"",INDIRECT("'SorP'!$A$"&amp;MATCH($S24&amp;$J24,SorP!C:C,0))))</f>
        <v>CN-HB</v>
      </c>
      <c r="U24" s="168"/>
      <c r="V24" s="169">
        <f>IF(C24="",NA(),MATCH($B24&amp;$C24,'Smelter Look-up'!$J:$J,0))</f>
        <v>74</v>
      </c>
      <c r="X24" s="170">
        <f t="shared" si="4"/>
        <v>0</v>
      </c>
      <c r="AB24" s="314" t="str">
        <f t="shared" si="5"/>
        <v>Cobalt</v>
      </c>
    </row>
    <row r="25" spans="1:28" s="170" customFormat="1" ht="24" customHeight="1">
      <c r="A25" s="155" t="s">
        <v>108</v>
      </c>
      <c r="B25" s="304" t="s">
        <v>40</v>
      </c>
      <c r="C25" s="152" t="s">
        <v>107</v>
      </c>
      <c r="D25" s="149" t="s">
        <v>107</v>
      </c>
      <c r="E25" s="149" t="s">
        <v>65</v>
      </c>
      <c r="F25" s="149" t="s">
        <v>108</v>
      </c>
      <c r="G25" s="149" t="str">
        <f ca="1">IF(C25=$X$4,"Enter smelter details",IF(ISERROR($V25),"",OFFSET('Smelter Look-up'!$F$4,$V25-4,0)))</f>
        <v>RMI</v>
      </c>
      <c r="H25" s="206">
        <f ca="1">IF(ISERROR($V25),"",OFFSET('Smelter Look-up'!$G$4,$V25-4,0))</f>
        <v>0</v>
      </c>
      <c r="I25" s="207" t="str">
        <f ca="1">IF(ISERROR($V25),"",OFFSET('Smelter Look-up'!$H$4,$V25-4,0))</f>
        <v>Ganzhou</v>
      </c>
      <c r="J25" s="207" t="str">
        <f ca="1">IF(ISERROR($V25),"",OFFSET('Smelter Look-up'!$I$4,$V25-4,0))</f>
        <v>Jiangxi Sheng</v>
      </c>
      <c r="K25" s="150"/>
      <c r="L25" s="150"/>
      <c r="M25" s="150"/>
      <c r="N25" s="150"/>
      <c r="O25" s="150"/>
      <c r="P25" s="209"/>
      <c r="Q25" s="151"/>
      <c r="R25" s="149" t="str">
        <f ca="1">IF(ISERROR($V25),"",OFFSET('Smelter Look-up'!$C$4,$V25-4,0)&amp;"")</f>
        <v>Ganzhou Highpower Technology Co., Ltd.</v>
      </c>
      <c r="S25" s="155" t="str">
        <f t="shared" ca="1" si="3"/>
        <v>CN</v>
      </c>
      <c r="T25" s="155" t="str">
        <f ca="1">IF(B25="","",IF(ISERROR(MATCH($J25,SorP!$B$1:$B$6226,0)),"",INDIRECT("'SorP'!$A$"&amp;MATCH($S25&amp;$J25,SorP!C:C,0))))</f>
        <v>CN-JX</v>
      </c>
      <c r="U25" s="168"/>
      <c r="V25" s="169">
        <f>IF(C25="",NA(),MATCH($B25&amp;$C25,'Smelter Look-up'!$J:$J,0))</f>
        <v>34</v>
      </c>
      <c r="X25" s="170">
        <f t="shared" si="4"/>
        <v>0</v>
      </c>
      <c r="AB25" s="314" t="str">
        <f t="shared" si="5"/>
        <v>Cobalt</v>
      </c>
    </row>
    <row r="26" spans="1:28" s="170" customFormat="1" ht="24" customHeight="1">
      <c r="A26" s="155" t="s">
        <v>246</v>
      </c>
      <c r="B26" s="304" t="s">
        <v>40</v>
      </c>
      <c r="C26" s="152" t="s">
        <v>245</v>
      </c>
      <c r="D26" s="149" t="s">
        <v>245</v>
      </c>
      <c r="E26" s="149" t="s">
        <v>101</v>
      </c>
      <c r="F26" s="149" t="s">
        <v>246</v>
      </c>
      <c r="G26" s="149" t="str">
        <f ca="1">IF(C26=$X$4,"Enter smelter details",IF(ISERROR($V26),"",OFFSET('Smelter Look-up'!$F$4,$V26-4,0)))</f>
        <v>RMI</v>
      </c>
      <c r="H26" s="206">
        <f ca="1">IF(ISERROR($V26),"",OFFSET('Smelter Look-up'!$G$4,$V26-4,0))</f>
        <v>0</v>
      </c>
      <c r="I26" s="207" t="str">
        <f ca="1">IF(ISERROR($V26),"",OFFSET('Smelter Look-up'!$H$4,$V26-4,0))</f>
        <v>Harvjavalta</v>
      </c>
      <c r="J26" s="207" t="str">
        <f ca="1">IF(ISERROR($V26),"",OFFSET('Smelter Look-up'!$I$4,$V26-4,0))</f>
        <v>Satakunta</v>
      </c>
      <c r="K26" s="150"/>
      <c r="L26" s="150"/>
      <c r="M26" s="150"/>
      <c r="N26" s="150"/>
      <c r="O26" s="150"/>
      <c r="P26" s="209"/>
      <c r="Q26" s="151"/>
      <c r="R26" s="149" t="str">
        <f ca="1">IF(ISERROR($V26),"",OFFSET('Smelter Look-up'!$C$4,$V26-4,0)&amp;"")</f>
        <v>NORILSK NICKEL HARJAVALTA OY</v>
      </c>
      <c r="S26" s="155" t="str">
        <f t="shared" ca="1" si="3"/>
        <v>FI</v>
      </c>
      <c r="T26" s="155" t="str">
        <f ca="1">IF(B26="","",IF(ISERROR(MATCH($J26,SorP!$B$1:$B$6226,0)),"",INDIRECT("'SorP'!$A$"&amp;MATCH($S26&amp;$J26,SorP!C:C,0))))</f>
        <v>FI-17</v>
      </c>
      <c r="U26" s="168"/>
      <c r="V26" s="169">
        <f>IF(C26="",NA(),MATCH($B26&amp;$C26,'Smelter Look-up'!$J:$J,0))</f>
        <v>124</v>
      </c>
      <c r="X26" s="170">
        <f t="shared" si="4"/>
        <v>0</v>
      </c>
      <c r="AB26" s="314" t="str">
        <f t="shared" si="5"/>
        <v>Cobalt</v>
      </c>
    </row>
    <row r="27" spans="1:28" s="170" customFormat="1" ht="24" customHeight="1">
      <c r="A27" s="155" t="s">
        <v>153</v>
      </c>
      <c r="B27" s="304" t="s">
        <v>40</v>
      </c>
      <c r="C27" s="152" t="s">
        <v>152</v>
      </c>
      <c r="D27" s="149" t="s">
        <v>152</v>
      </c>
      <c r="E27" s="149" t="s">
        <v>65</v>
      </c>
      <c r="F27" s="149" t="s">
        <v>153</v>
      </c>
      <c r="G27" s="149" t="str">
        <f ca="1">IF(C27=$X$4,"Enter smelter details",IF(ISERROR($V27),"",OFFSET('Smelter Look-up'!$F$4,$V27-4,0)))</f>
        <v>RMI</v>
      </c>
      <c r="H27" s="206">
        <f ca="1">IF(ISERROR($V27),"",OFFSET('Smelter Look-up'!$G$4,$V27-4,0))</f>
        <v>0</v>
      </c>
      <c r="I27" s="207" t="str">
        <f ca="1">IF(ISERROR($V27),"",OFFSET('Smelter Look-up'!$H$4,$V27-4,0))</f>
        <v>Changsha</v>
      </c>
      <c r="J27" s="207" t="str">
        <f ca="1">IF(ISERROR($V27),"",OFFSET('Smelter Look-up'!$I$4,$V27-4,0))</f>
        <v>Hunan Sheng</v>
      </c>
      <c r="K27" s="150"/>
      <c r="L27" s="150"/>
      <c r="M27" s="150"/>
      <c r="N27" s="150"/>
      <c r="O27" s="150"/>
      <c r="P27" s="209"/>
      <c r="Q27" s="151"/>
      <c r="R27" s="149" t="str">
        <f ca="1">IF(ISERROR($V27),"",OFFSET('Smelter Look-up'!$C$4,$V27-4,0)&amp;"")</f>
        <v>Hunan Yacheng New Energy Co., Ltd.</v>
      </c>
      <c r="S27" s="155" t="str">
        <f t="shared" ca="1" si="3"/>
        <v>CN</v>
      </c>
      <c r="T27" s="155" t="str">
        <f ca="1">IF(B27="","",IF(ISERROR(MATCH($J27,SorP!$B$1:$B$6226,0)),"",INDIRECT("'SorP'!$A$"&amp;MATCH($S27&amp;$J27,SorP!C:C,0))))</f>
        <v>CN-HN</v>
      </c>
      <c r="U27" s="168"/>
      <c r="V27" s="169">
        <f>IF(C27="",NA(),MATCH($B27&amp;$C27,'Smelter Look-up'!$J:$J,0))</f>
        <v>55</v>
      </c>
      <c r="X27" s="170">
        <f t="shared" si="4"/>
        <v>0</v>
      </c>
      <c r="AB27" s="314" t="str">
        <f t="shared" si="5"/>
        <v>Cobalt</v>
      </c>
    </row>
    <row r="28" spans="1:28" s="170" customFormat="1" ht="24" customHeight="1">
      <c r="A28" s="155" t="s">
        <v>220</v>
      </c>
      <c r="B28" s="304" t="s">
        <v>40</v>
      </c>
      <c r="C28" s="152" t="s">
        <v>218</v>
      </c>
      <c r="D28" s="149" t="s">
        <v>218</v>
      </c>
      <c r="E28" s="149" t="s">
        <v>219</v>
      </c>
      <c r="F28" s="149" t="s">
        <v>220</v>
      </c>
      <c r="G28" s="149" t="str">
        <f ca="1">IF(C28=$X$4,"Enter smelter details",IF(ISERROR($V28),"",OFFSET('Smelter Look-up'!$F$4,$V28-4,0)))</f>
        <v>RMI</v>
      </c>
      <c r="H28" s="206">
        <f ca="1">IF(ISERROR($V28),"",OFFSET('Smelter Look-up'!$G$4,$V28-4,0))</f>
        <v>0</v>
      </c>
      <c r="I28" s="207" t="str">
        <f ca="1">IF(ISERROR($V28),"",OFFSET('Smelter Look-up'!$H$4,$V28-4,0))</f>
        <v>Laverton</v>
      </c>
      <c r="J28" s="207" t="str">
        <f ca="1">IF(ISERROR($V28),"",OFFSET('Smelter Look-up'!$I$4,$V28-4,0))</f>
        <v>Western Australia</v>
      </c>
      <c r="K28" s="150"/>
      <c r="L28" s="150"/>
      <c r="M28" s="150"/>
      <c r="N28" s="150"/>
      <c r="O28" s="150"/>
      <c r="P28" s="209"/>
      <c r="Q28" s="151"/>
      <c r="R28" s="149" t="str">
        <f ca="1">IF(ISERROR($V28),"",OFFSET('Smelter Look-up'!$C$4,$V28-4,0)&amp;"")</f>
        <v>Murrin Murrin Nickel Cobalt Plant</v>
      </c>
      <c r="S28" s="155" t="str">
        <f t="shared" ca="1" si="3"/>
        <v>AU</v>
      </c>
      <c r="T28" s="155" t="str">
        <f ca="1">IF(B28="","",IF(ISERROR(MATCH($J28,SorP!$B$1:$B$6226,0)),"",INDIRECT("'SorP'!$A$"&amp;MATCH($S28&amp;$J28,SorP!C:C,0))))</f>
        <v>AU-WA</v>
      </c>
      <c r="U28" s="168"/>
      <c r="V28" s="169">
        <f>IF(C28="",NA(),MATCH($B28&amp;$C28,'Smelter Look-up'!$J:$J,0))</f>
        <v>109</v>
      </c>
      <c r="X28" s="170">
        <f t="shared" si="4"/>
        <v>0</v>
      </c>
      <c r="AB28" s="314" t="str">
        <f t="shared" si="5"/>
        <v>Cobalt</v>
      </c>
    </row>
    <row r="29" spans="1:28" s="170" customFormat="1" ht="24" customHeight="1">
      <c r="A29" s="155" t="s">
        <v>77</v>
      </c>
      <c r="B29" s="304" t="s">
        <v>40</v>
      </c>
      <c r="C29" s="152" t="s">
        <v>19162</v>
      </c>
      <c r="D29" s="149" t="s">
        <v>19162</v>
      </c>
      <c r="E29" s="149" t="s">
        <v>76</v>
      </c>
      <c r="F29" s="149" t="s">
        <v>77</v>
      </c>
      <c r="G29" s="149" t="str">
        <f ca="1">IF(C29=$X$4,"Enter smelter details",IF(ISERROR($V29),"",OFFSET('Smelter Look-up'!$F$4,$V29-4,0)))</f>
        <v>RMI</v>
      </c>
      <c r="H29" s="206">
        <f ca="1">IF(ISERROR($V29),"",OFFSET('Smelter Look-up'!$G$4,$V29-4,0))</f>
        <v>0</v>
      </c>
      <c r="I29" s="207" t="str">
        <f ca="1">IF(ISERROR($V29),"",OFFSET('Smelter Look-up'!$H$4,$V29-4,0))</f>
        <v>Toufen</v>
      </c>
      <c r="J29" s="207" t="str">
        <f ca="1">IF(ISERROR($V29),"",OFFSET('Smelter Look-up'!$I$4,$V29-4,0))</f>
        <v>Miaoli</v>
      </c>
      <c r="K29" s="150"/>
      <c r="L29" s="150"/>
      <c r="M29" s="150"/>
      <c r="N29" s="150"/>
      <c r="O29" s="150"/>
      <c r="P29" s="209"/>
      <c r="Q29" s="151"/>
      <c r="R29" s="149" t="str">
        <f ca="1">IF(ISERROR($V29),"",OFFSET('Smelter Look-up'!$C$4,$V29-4,0)&amp;"")</f>
        <v>Uranus Chemicals</v>
      </c>
      <c r="S29" s="155" t="str">
        <f t="shared" ca="1" si="3"/>
        <v>TW</v>
      </c>
      <c r="T29" s="155" t="str">
        <f ca="1">IF(B29="","",IF(ISERROR(MATCH($J29,SorP!$B$1:$B$6226,0)),"",INDIRECT("'SorP'!$A$"&amp;MATCH($S29&amp;$J29,SorP!C:C,0))))</f>
        <v>TW-MIA</v>
      </c>
      <c r="U29" s="168"/>
      <c r="V29" s="169">
        <f>IF(C29="",NA(),MATCH($B29&amp;$C29,'Smelter Look-up'!$J:$J,0))</f>
        <v>154</v>
      </c>
      <c r="X29" s="170">
        <f t="shared" si="4"/>
        <v>0</v>
      </c>
      <c r="AB29" s="314" t="str">
        <f t="shared" si="5"/>
        <v>Cobalt</v>
      </c>
    </row>
    <row r="30" spans="1:28" s="170" customFormat="1" ht="24" customHeight="1">
      <c r="A30" s="155" t="s">
        <v>304</v>
      </c>
      <c r="B30" s="304" t="s">
        <v>40</v>
      </c>
      <c r="C30" s="152" t="s">
        <v>12066</v>
      </c>
      <c r="D30" s="149" t="s">
        <v>12066</v>
      </c>
      <c r="E30" s="149" t="s">
        <v>65</v>
      </c>
      <c r="F30" s="149" t="s">
        <v>304</v>
      </c>
      <c r="G30" s="149" t="str">
        <f ca="1">IF(C30=$X$4,"Enter smelter details",IF(ISERROR($V30),"",OFFSET('Smelter Look-up'!$F$4,$V30-4,0)))</f>
        <v>RMI</v>
      </c>
      <c r="H30" s="206">
        <f ca="1">IF(ISERROR($V30),"",OFFSET('Smelter Look-up'!$G$4,$V30-4,0))</f>
        <v>0</v>
      </c>
      <c r="I30" s="207" t="str">
        <f ca="1">IF(ISERROR($V30),"",OFFSET('Smelter Look-up'!$H$4,$V30-4,0))</f>
        <v>Shaoxing</v>
      </c>
      <c r="J30" s="207" t="str">
        <f ca="1">IF(ISERROR($V30),"",OFFSET('Smelter Look-up'!$I$4,$V30-4,0))</f>
        <v>Zhejiang Sheng</v>
      </c>
      <c r="K30" s="150"/>
      <c r="L30" s="150"/>
      <c r="M30" s="150"/>
      <c r="N30" s="150"/>
      <c r="O30" s="150"/>
      <c r="P30" s="209"/>
      <c r="Q30" s="151"/>
      <c r="R30" s="149" t="str">
        <f ca="1">IF(ISERROR($V30),"",OFFSET('Smelter Look-up'!$C$4,$V30-4,0)&amp;"")</f>
        <v>Zhejiang Greatpower Cobalt Materials Co., Ltd.</v>
      </c>
      <c r="S30" s="155" t="str">
        <f t="shared" ca="1" si="3"/>
        <v>CN</v>
      </c>
      <c r="T30" s="155" t="str">
        <f ca="1">IF(B30="","",IF(ISERROR(MATCH($J30,SorP!$B$1:$B$6226,0)),"",INDIRECT("'SorP'!$A$"&amp;MATCH($S30&amp;$J30,SorP!C:C,0))))</f>
        <v>CN-ZJ</v>
      </c>
      <c r="U30" s="168"/>
      <c r="V30" s="169">
        <f>IF(C30="",NA(),MATCH($B30&amp;$C30,'Smelter Look-up'!$J:$J,0))</f>
        <v>167</v>
      </c>
      <c r="X30" s="170">
        <f t="shared" si="4"/>
        <v>0</v>
      </c>
      <c r="AB30" s="314" t="str">
        <f t="shared" si="5"/>
        <v>Cobalt</v>
      </c>
    </row>
    <row r="31" spans="1:28" s="170" customFormat="1" ht="24" customHeight="1">
      <c r="A31" s="155" t="s">
        <v>212</v>
      </c>
      <c r="B31" s="304" t="s">
        <v>40</v>
      </c>
      <c r="C31" s="152" t="s">
        <v>211</v>
      </c>
      <c r="D31" s="149" t="s">
        <v>211</v>
      </c>
      <c r="E31" s="149" t="s">
        <v>76</v>
      </c>
      <c r="F31" s="149" t="s">
        <v>212</v>
      </c>
      <c r="G31" s="149" t="str">
        <f ca="1">IF(C31=$X$4,"Enter smelter details",IF(ISERROR($V31),"",OFFSET('Smelter Look-up'!$F$4,$V31-4,0)))</f>
        <v>RMI</v>
      </c>
      <c r="H31" s="206">
        <f ca="1">IF(ISERROR($V31),"",OFFSET('Smelter Look-up'!$G$4,$V31-4,0))</f>
        <v>0</v>
      </c>
      <c r="I31" s="207" t="str">
        <f ca="1">IF(ISERROR($V31),"",OFFSET('Smelter Look-up'!$H$4,$V31-4,0))</f>
        <v>Taoyuan</v>
      </c>
      <c r="J31" s="207" t="str">
        <f ca="1">IF(ISERROR($V31),"",OFFSET('Smelter Look-up'!$I$4,$V31-4,0))</f>
        <v>Taoyuan</v>
      </c>
      <c r="K31" s="150"/>
      <c r="L31" s="150"/>
      <c r="M31" s="150"/>
      <c r="N31" s="150"/>
      <c r="O31" s="150"/>
      <c r="P31" s="209"/>
      <c r="Q31" s="151"/>
      <c r="R31" s="149" t="str">
        <f ca="1">IF(ISERROR($V31),"",OFFSET('Smelter Look-up'!$C$4,$V31-4,0)&amp;"")</f>
        <v>Mechema Taiwan Plant 2</v>
      </c>
      <c r="S31" s="155" t="str">
        <f t="shared" ca="1" si="3"/>
        <v>TW</v>
      </c>
      <c r="T31" s="155" t="str">
        <f ca="1">IF(B31="","",IF(ISERROR(MATCH($J31,SorP!$B$1:$B$6226,0)),"",INDIRECT("'SorP'!$A$"&amp;MATCH($S31&amp;$J31,SorP!C:C,0))))</f>
        <v>TW-TAO</v>
      </c>
      <c r="U31" s="168"/>
      <c r="V31" s="169">
        <f>IF(C31="",NA(),MATCH($B31&amp;$C31,'Smelter Look-up'!$J:$J,0))</f>
        <v>100</v>
      </c>
      <c r="X31" s="170">
        <f t="shared" si="4"/>
        <v>0</v>
      </c>
      <c r="AB31" s="314" t="str">
        <f t="shared" si="5"/>
        <v>Cobalt</v>
      </c>
    </row>
    <row r="32" spans="1:28" s="170" customFormat="1" ht="24" customHeight="1">
      <c r="A32" s="155" t="s">
        <v>134</v>
      </c>
      <c r="B32" s="304" t="s">
        <v>40</v>
      </c>
      <c r="C32" s="152" t="s">
        <v>132</v>
      </c>
      <c r="D32" s="149" t="s">
        <v>132</v>
      </c>
      <c r="E32" s="149" t="s">
        <v>133</v>
      </c>
      <c r="F32" s="149" t="s">
        <v>134</v>
      </c>
      <c r="G32" s="149" t="str">
        <f ca="1">IF(C32=$X$4,"Enter smelter details",IF(ISERROR($V32),"",OFFSET('Smelter Look-up'!$F$4,$V32-4,0)))</f>
        <v>RMI</v>
      </c>
      <c r="H32" s="206">
        <f ca="1">IF(ISERROR($V32),"",OFFSET('Smelter Look-up'!$G$4,$V32-4,0))</f>
        <v>0</v>
      </c>
      <c r="I32" s="207" t="str">
        <f ca="1">IF(ISERROR($V32),"",OFFSET('Smelter Look-up'!$H$4,$V32-4,0))</f>
        <v>Kako-gun</v>
      </c>
      <c r="J32" s="207" t="str">
        <f ca="1">IF(ISERROR($V32),"",OFFSET('Smelter Look-up'!$I$4,$V32-4,0))</f>
        <v>Hyogo</v>
      </c>
      <c r="K32" s="150"/>
      <c r="L32" s="150"/>
      <c r="M32" s="150"/>
      <c r="N32" s="150"/>
      <c r="O32" s="150"/>
      <c r="P32" s="209"/>
      <c r="Q32" s="151"/>
      <c r="R32" s="149" t="str">
        <f ca="1">IF(ISERROR($V32),"",OFFSET('Smelter Look-up'!$C$4,$V32-4,0)&amp;"")</f>
        <v>Harima Refinery, Sumitomo Metal Mining</v>
      </c>
      <c r="S32" s="155" t="str">
        <f t="shared" ca="1" si="3"/>
        <v>JP</v>
      </c>
      <c r="T32" s="155" t="str">
        <f ca="1">IF(B32="","",IF(ISERROR(MATCH($J32,SorP!$B$1:$B$6226,0)),"",INDIRECT("'SorP'!$A$"&amp;MATCH($S32&amp;$J32,SorP!C:C,0))))</f>
        <v>JP-28</v>
      </c>
      <c r="U32" s="168"/>
      <c r="V32" s="169">
        <f>IF(C32="",NA(),MATCH($B32&amp;$C32,'Smelter Look-up'!$J:$J,0))</f>
        <v>46</v>
      </c>
      <c r="X32" s="170">
        <f t="shared" si="4"/>
        <v>0</v>
      </c>
      <c r="AB32" s="314" t="str">
        <f t="shared" si="5"/>
        <v>Cobalt</v>
      </c>
    </row>
    <row r="33" spans="1:28" s="170" customFormat="1" ht="24" customHeight="1">
      <c r="A33" s="155" t="s">
        <v>128</v>
      </c>
      <c r="B33" s="304" t="s">
        <v>40</v>
      </c>
      <c r="C33" s="152" t="s">
        <v>127</v>
      </c>
      <c r="D33" s="149" t="s">
        <v>127</v>
      </c>
      <c r="E33" s="149" t="s">
        <v>65</v>
      </c>
      <c r="F33" s="149" t="s">
        <v>128</v>
      </c>
      <c r="G33" s="149" t="str">
        <f ca="1">IF(C33=$X$4,"Enter smelter details",IF(ISERROR($V33),"",OFFSET('Smelter Look-up'!$F$4,$V33-4,0)))</f>
        <v>RMI</v>
      </c>
      <c r="H33" s="206">
        <f ca="1">IF(ISERROR($V33),"",OFFSET('Smelter Look-up'!$G$4,$V33-4,0))</f>
        <v>0</v>
      </c>
      <c r="I33" s="207" t="str">
        <f ca="1">IF(ISERROR($V33),"",OFFSET('Smelter Look-up'!$H$4,$V33-4,0))</f>
        <v>Tongren</v>
      </c>
      <c r="J33" s="207" t="str">
        <f ca="1">IF(ISERROR($V33),"",OFFSET('Smelter Look-up'!$I$4,$V33-4,0))</f>
        <v>Guizhou Sheng</v>
      </c>
      <c r="K33" s="150"/>
      <c r="L33" s="150"/>
      <c r="M33" s="150"/>
      <c r="N33" s="150"/>
      <c r="O33" s="150"/>
      <c r="P33" s="209"/>
      <c r="Q33" s="151"/>
      <c r="R33" s="149" t="str">
        <f ca="1">IF(ISERROR($V33),"",OFFSET('Smelter Look-up'!$C$4,$V33-4,0)&amp;"")</f>
        <v>Guizhou CNGR Resource Recycling Industry Development Co., Ltd.</v>
      </c>
      <c r="S33" s="155" t="str">
        <f t="shared" ca="1" si="3"/>
        <v>CN</v>
      </c>
      <c r="T33" s="155" t="str">
        <f ca="1">IF(B33="","",IF(ISERROR(MATCH($J33,SorP!$B$1:$B$6226,0)),"",INDIRECT("'SorP'!$A$"&amp;MATCH($S33&amp;$J33,SorP!C:C,0))))</f>
        <v>CN-GZ</v>
      </c>
      <c r="U33" s="168"/>
      <c r="V33" s="169">
        <f>IF(C33="",NA(),MATCH($B33&amp;$C33,'Smelter Look-up'!$J:$J,0))</f>
        <v>43</v>
      </c>
      <c r="X33" s="170">
        <f t="shared" si="4"/>
        <v>0</v>
      </c>
      <c r="AB33" s="314" t="str">
        <f t="shared" si="5"/>
        <v>Cobalt</v>
      </c>
    </row>
    <row r="34" spans="1:28" s="170" customFormat="1" ht="24" customHeight="1">
      <c r="A34" s="155" t="s">
        <v>12044</v>
      </c>
      <c r="B34" s="304" t="s">
        <v>40</v>
      </c>
      <c r="C34" s="152" t="s">
        <v>20060</v>
      </c>
      <c r="D34" s="149" t="s">
        <v>20060</v>
      </c>
      <c r="E34" s="149" t="s">
        <v>65</v>
      </c>
      <c r="F34" s="149" t="s">
        <v>12044</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CN</v>
      </c>
      <c r="T34" s="155" t="str">
        <f ca="1">IF(B34="","",IF(ISERROR(MATCH($J34,SorP!$B$1:$B$6226,0)),"",INDIRECT("'SorP'!$A$"&amp;MATCH($S34&amp;$J34,SorP!C:C,0))))</f>
        <v/>
      </c>
      <c r="U34" s="168"/>
      <c r="V34" s="169" t="e">
        <f>IF(C34="",NA(),MATCH($B34&amp;$C34,'Smelter Look-up'!$J:$J,0))</f>
        <v>#N/A</v>
      </c>
      <c r="X34" s="170">
        <f t="shared" si="4"/>
        <v>0</v>
      </c>
      <c r="AB34" s="314" t="str">
        <f t="shared" si="5"/>
        <v>Cobalt</v>
      </c>
    </row>
    <row r="35" spans="1:28" s="170" customFormat="1" ht="24" customHeight="1">
      <c r="A35" s="155" t="s">
        <v>12051</v>
      </c>
      <c r="B35" s="304" t="s">
        <v>40</v>
      </c>
      <c r="C35" s="152" t="s">
        <v>12052</v>
      </c>
      <c r="D35" s="149" t="s">
        <v>12052</v>
      </c>
      <c r="E35" s="149" t="s">
        <v>65</v>
      </c>
      <c r="F35" s="149" t="s">
        <v>12051</v>
      </c>
      <c r="G35" s="149" t="str">
        <f ca="1">IF(C35=$X$4,"Enter smelter details",IF(ISERROR($V35),"",OFFSET('Smelter Look-up'!$F$4,$V35-4,0)))</f>
        <v>RMI</v>
      </c>
      <c r="H35" s="206">
        <f ca="1">IF(ISERROR($V35),"",OFFSET('Smelter Look-up'!$G$4,$V35-4,0))</f>
        <v>0</v>
      </c>
      <c r="I35" s="207" t="str">
        <f ca="1">IF(ISERROR($V35),"",OFFSET('Smelter Look-up'!$H$4,$V35-4,0))</f>
        <v>Ganzhou City</v>
      </c>
      <c r="J35" s="207" t="str">
        <f ca="1">IF(ISERROR($V35),"",OFFSET('Smelter Look-up'!$I$4,$V35-4,0))</f>
        <v>Jiangxi Sheng</v>
      </c>
      <c r="K35" s="150"/>
      <c r="L35" s="150"/>
      <c r="M35" s="150"/>
      <c r="N35" s="150"/>
      <c r="O35" s="150"/>
      <c r="P35" s="209"/>
      <c r="Q35" s="151"/>
      <c r="R35" s="149" t="str">
        <f ca="1">IF(ISERROR($V35),"",OFFSET('Smelter Look-up'!$C$4,$V35-4,0)&amp;"")</f>
        <v>Jiangxi Miracle Golden Tiger Cobalt Co. Ltd.</v>
      </c>
      <c r="S35" s="155" t="str">
        <f t="shared" ca="1" si="3"/>
        <v>CN</v>
      </c>
      <c r="T35" s="155" t="str">
        <f ca="1">IF(B35="","",IF(ISERROR(MATCH($J35,SorP!$B$1:$B$6226,0)),"",INDIRECT("'SorP'!$A$"&amp;MATCH($S35&amp;$J35,SorP!C:C,0))))</f>
        <v>CN-JX</v>
      </c>
      <c r="U35" s="168"/>
      <c r="V35" s="169">
        <f>IF(C35="",NA(),MATCH($B35&amp;$C35,'Smelter Look-up'!$J:$J,0))</f>
        <v>70</v>
      </c>
      <c r="X35" s="170">
        <f t="shared" si="4"/>
        <v>0</v>
      </c>
      <c r="AB35" s="314" t="str">
        <f t="shared" si="5"/>
        <v>Cobalt</v>
      </c>
    </row>
    <row r="36" spans="1:28" s="170" customFormat="1" ht="24" customHeight="1">
      <c r="A36" s="155" t="s">
        <v>12196</v>
      </c>
      <c r="B36" s="304" t="s">
        <v>40</v>
      </c>
      <c r="C36" s="152" t="s">
        <v>12195</v>
      </c>
      <c r="D36" s="149" t="s">
        <v>12195</v>
      </c>
      <c r="E36" s="149" t="s">
        <v>1746</v>
      </c>
      <c r="F36" s="149" t="s">
        <v>12196</v>
      </c>
      <c r="G36" s="149" t="str">
        <f ca="1">IF(C36=$X$4,"Enter smelter details",IF(ISERROR($V36),"",OFFSET('Smelter Look-up'!$F$4,$V36-4,0)))</f>
        <v>RMI</v>
      </c>
      <c r="H36" s="206">
        <f ca="1">IF(ISERROR($V36),"",OFFSET('Smelter Look-up'!$G$4,$V36-4,0))</f>
        <v>0</v>
      </c>
      <c r="I36" s="207" t="str">
        <f ca="1">IF(ISERROR($V36),"",OFFSET('Smelter Look-up'!$H$4,$V36-4,0))</f>
        <v>Mardin</v>
      </c>
      <c r="J36" s="207" t="str">
        <f ca="1">IF(ISERROR($V36),"",OFFSET('Smelter Look-up'!$I$4,$V36-4,0))</f>
        <v>Mardin</v>
      </c>
      <c r="K36" s="150"/>
      <c r="L36" s="150"/>
      <c r="M36" s="150"/>
      <c r="N36" s="150"/>
      <c r="O36" s="150"/>
      <c r="P36" s="209"/>
      <c r="Q36" s="151"/>
      <c r="R36" s="149" t="str">
        <f ca="1">IF(ISERROR($V36),"",OFFSET('Smelter Look-up'!$C$4,$V36-4,0)&amp;"")</f>
        <v>Eti Bakir A.S</v>
      </c>
      <c r="S36" s="155" t="str">
        <f t="shared" ca="1" si="3"/>
        <v>TR</v>
      </c>
      <c r="T36" s="155" t="str">
        <f ca="1">IF(B36="","",IF(ISERROR(MATCH($J36,SorP!$B$1:$B$6226,0)),"",INDIRECT("'SorP'!$A$"&amp;MATCH($S36&amp;$J36,SorP!C:C,0))))</f>
        <v>TR-47</v>
      </c>
      <c r="U36" s="168"/>
      <c r="V36" s="169">
        <f>IF(C36="",NA(),MATCH($B36&amp;$C36,'Smelter Look-up'!$J:$J,0))</f>
        <v>23</v>
      </c>
      <c r="X36" s="170">
        <f t="shared" si="4"/>
        <v>0</v>
      </c>
      <c r="AB36" s="314" t="str">
        <f t="shared" si="5"/>
        <v>Cobalt</v>
      </c>
    </row>
    <row r="37" spans="1:28" s="170" customFormat="1" ht="24" customHeight="1">
      <c r="A37" s="155" t="s">
        <v>12203</v>
      </c>
      <c r="B37" s="304" t="s">
        <v>40</v>
      </c>
      <c r="C37" s="152" t="s">
        <v>12267</v>
      </c>
      <c r="D37" s="149" t="s">
        <v>12267</v>
      </c>
      <c r="E37" s="149" t="s">
        <v>76</v>
      </c>
      <c r="F37" s="149" t="s">
        <v>12203</v>
      </c>
      <c r="G37" s="149" t="str">
        <f ca="1">IF(C37=$X$4,"Enter smelter details",IF(ISERROR($V37),"",OFFSET('Smelter Look-up'!$F$4,$V37-4,0)))</f>
        <v>RMI</v>
      </c>
      <c r="H37" s="206">
        <f ca="1">IF(ISERROR($V37),"",OFFSET('Smelter Look-up'!$G$4,$V37-4,0))</f>
        <v>0</v>
      </c>
      <c r="I37" s="207" t="str">
        <f ca="1">IF(ISERROR($V37),"",OFFSET('Smelter Look-up'!$H$4,$V37-4,0))</f>
        <v>Wujie</v>
      </c>
      <c r="J37" s="207" t="str">
        <f ca="1">IF(ISERROR($V37),"",OFFSET('Smelter Look-up'!$I$4,$V37-4,0))</f>
        <v>Yilan</v>
      </c>
      <c r="K37" s="150"/>
      <c r="L37" s="150"/>
      <c r="M37" s="150"/>
      <c r="N37" s="150"/>
      <c r="O37" s="150"/>
      <c r="P37" s="209"/>
      <c r="Q37" s="151"/>
      <c r="R37" s="149" t="str">
        <f ca="1">IF(ISERROR($V37),"",OFFSET('Smelter Look-up'!$C$4,$V37-4,0)&amp;"")</f>
        <v>Lianyou Resources Co., Ltd.</v>
      </c>
      <c r="S37" s="155" t="str">
        <f t="shared" ca="1" si="3"/>
        <v>TW</v>
      </c>
      <c r="T37" s="155" t="str">
        <f ca="1">IF(B37="","",IF(ISERROR(MATCH($J37,SorP!$B$1:$B$6226,0)),"",INDIRECT("'SorP'!$A$"&amp;MATCH($S37&amp;$J37,SorP!C:C,0))))</f>
        <v>TW-ILA</v>
      </c>
      <c r="U37" s="168"/>
      <c r="V37" s="169">
        <f>IF(C37="",NA(),MATCH($B37&amp;$C37,'Smelter Look-up'!$J:$J,0))</f>
        <v>89</v>
      </c>
      <c r="X37" s="170">
        <f t="shared" si="4"/>
        <v>0</v>
      </c>
      <c r="AB37" s="314" t="str">
        <f t="shared" si="5"/>
        <v>Cobalt</v>
      </c>
    </row>
    <row r="38" spans="1:28" s="170" customFormat="1" ht="24" customHeight="1">
      <c r="A38" s="155" t="s">
        <v>358</v>
      </c>
      <c r="B38" s="304" t="s">
        <v>41</v>
      </c>
      <c r="C38" s="152" t="s">
        <v>357</v>
      </c>
      <c r="D38" s="149" t="s">
        <v>357</v>
      </c>
      <c r="E38" s="149" t="s">
        <v>133</v>
      </c>
      <c r="F38" s="149" t="s">
        <v>358</v>
      </c>
      <c r="G38" s="149" t="str">
        <f ca="1">IF(C38=$X$4,"Enter smelter details",IF(ISERROR($V38),"",OFFSET('Smelter Look-up'!$F$4,$V38-4,0)))</f>
        <v>RMI</v>
      </c>
      <c r="H38" s="206">
        <f ca="1">IF(ISERROR($V38),"",OFFSET('Smelter Look-up'!$G$4,$V38-4,0))</f>
        <v>0</v>
      </c>
      <c r="I38" s="207" t="str">
        <f ca="1">IF(ISERROR($V38),"",OFFSET('Smelter Look-up'!$H$4,$V38-4,0))</f>
        <v>Toyokawa</v>
      </c>
      <c r="J38" s="207" t="str">
        <f ca="1">IF(ISERROR($V38),"",OFFSET('Smelter Look-up'!$I$4,$V38-4,0))</f>
        <v>Aichi</v>
      </c>
      <c r="K38" s="150"/>
      <c r="L38" s="150"/>
      <c r="M38" s="150"/>
      <c r="N38" s="150"/>
      <c r="O38" s="150"/>
      <c r="P38" s="209"/>
      <c r="Q38" s="151"/>
      <c r="R38" s="149" t="str">
        <f ca="1">IF(ISERROR($V38),"",OFFSET('Smelter Look-up'!$C$4,$V38-4,0)&amp;"")</f>
        <v>Yamaguchi Mica</v>
      </c>
      <c r="S38" s="155" t="str">
        <f t="shared" ca="1" si="3"/>
        <v>JP</v>
      </c>
      <c r="T38" s="155" t="str">
        <f ca="1">IF(B38="","",IF(ISERROR(MATCH($J38,SorP!$B$1:$B$6226,0)),"",INDIRECT("'SorP'!$A$"&amp;MATCH($S38&amp;$J38,SorP!C:C,0))))</f>
        <v>JP-23</v>
      </c>
      <c r="U38" s="168"/>
      <c r="V38" s="169">
        <f>IF(C38="",NA(),MATCH($B38&amp;$C38,'Smelter Look-up'!$J:$J,0))</f>
        <v>374</v>
      </c>
      <c r="X38" s="170">
        <f t="shared" si="4"/>
        <v>0</v>
      </c>
      <c r="AB38" s="314" t="str">
        <f t="shared" si="5"/>
        <v>Mica</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5" priority="3">
      <formula>IF($B5="",TRUE)</formula>
    </cfRule>
  </conditionalFormatting>
  <conditionalFormatting sqref="C5:C2504">
    <cfRule type="expression" dxfId="14" priority="12" stopIfTrue="1">
      <formula>IF(AND(B5&lt;&gt;"",C5=""),TRUE)</formula>
    </cfRule>
  </conditionalFormatting>
  <conditionalFormatting sqref="D5:D2504">
    <cfRule type="expression" priority="1" stopIfTrue="1">
      <formula>IF($D5&lt;&gt;"",TRUE)</formula>
    </cfRule>
    <cfRule type="expression" dxfId="13" priority="2" stopIfTrue="1">
      <formula>IF($C5="Smelter not listed",TRUE)</formula>
    </cfRule>
    <cfRule type="expression" dxfId="12" priority="14" stopIfTrue="1">
      <formula>IF($C5&lt;&gt;"",TRUE)</formula>
    </cfRule>
  </conditionalFormatting>
  <conditionalFormatting sqref="E5:E2504">
    <cfRule type="expression" dxfId="11" priority="8" stopIfTrue="1">
      <formula>IF(AND(E5="",$C5=$X$4),TRUE)</formula>
    </cfRule>
  </conditionalFormatting>
  <conditionalFormatting sqref="G5:G2504">
    <cfRule type="expression" dxfId="10"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Basler Electric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John Mollett</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johnmollett@basler.com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618-654-2341 x412</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John Mollett</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johnmollett@basler.com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45838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Mica(*)</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Mica(*)</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https://www.basler.com/About-Us/Supplier-Information</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Mica</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9" priority="1" stopIfTrue="1">
      <formula>$F4=0</formula>
    </cfRule>
    <cfRule type="expression" dxfId="8" priority="419" stopIfTrue="1">
      <formula>$H4=0</formula>
    </cfRule>
    <cfRule type="expression" dxfId="7"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1" t="str">
        <f ca="1">OFFSET(L!$C$1,MATCH("Mine List"&amp;ADDRESS(ROW(),COLUMN(),4),L!$A:$A,0)-1,SL,,)</f>
        <v>TO BEGIN:</v>
      </c>
      <c r="C2" s="471" t="s">
        <v>19144</v>
      </c>
      <c r="D2" s="471" t="s">
        <v>19144</v>
      </c>
      <c r="E2" s="326"/>
      <c r="F2" s="326"/>
      <c r="G2" s="327"/>
      <c r="H2" s="472"/>
      <c r="I2" s="473"/>
      <c r="J2" s="473"/>
      <c r="K2" s="473"/>
      <c r="L2" s="473"/>
      <c r="M2" s="473"/>
      <c r="N2" s="328"/>
      <c r="O2" s="328"/>
    </row>
    <row r="3" spans="1:19" s="324" customFormat="1" ht="94.05" customHeight="1" thickBot="1">
      <c r="A3" s="360"/>
      <c r="B3" s="47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19144</v>
      </c>
      <c r="D3" s="474" t="s">
        <v>19144</v>
      </c>
      <c r="E3" s="475" t="s">
        <v>19142</v>
      </c>
      <c r="F3" s="475"/>
      <c r="G3" s="47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6" priority="1" stopIfTrue="1">
      <formula>IF($A5="",TRUE)</formula>
    </cfRule>
    <cfRule type="expression" dxfId="5" priority="2" stopIfTrue="1">
      <formula>IF($A5="",FALSE)</formula>
    </cfRule>
  </conditionalFormatting>
  <conditionalFormatting sqref="B5:C2504">
    <cfRule type="expression" dxfId="4" priority="5" stopIfTrue="1">
      <formula>IF(AND(B5="",$A5&lt;&gt;""),TRUE)</formula>
    </cfRule>
    <cfRule type="expression" dxfId="3" priority="6" stopIfTrue="1">
      <formula>IF(FIND("!",B5),TRUE)</formula>
    </cfRule>
  </conditionalFormatting>
  <conditionalFormatting sqref="F5:F2504">
    <cfRule type="expression" dxfId="2" priority="3" stopIfTrue="1">
      <formula>IF(AND(F5="",$A5&lt;&gt;""),TRUE)</formula>
    </cfRule>
    <cfRule type="expression" dxfId="1"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8" t="str">
        <f ca="1">OFFSET(L!$C$1,MATCH("Product List"&amp;ADDRESS(ROW(),COLUMN(),4),L!$A:$A,0)-1,SL,,)</f>
        <v>Completion required only if reporting level "Product (or List of Products)" selected on the 'Declaration' worksheet.</v>
      </c>
      <c r="B1" s="479"/>
      <c r="C1" s="479"/>
      <c r="D1" s="479"/>
      <c r="E1" s="107"/>
    </row>
    <row r="2" spans="1:35" ht="13.2">
      <c r="A2" s="19"/>
      <c r="B2" s="109"/>
      <c r="C2" s="109"/>
      <c r="D2"/>
      <c r="E2" s="20"/>
    </row>
    <row r="3" spans="1:35" ht="13.2">
      <c r="A3" s="19"/>
      <c r="B3" s="109"/>
      <c r="C3" s="109"/>
      <c r="D3" s="109"/>
      <c r="E3" s="20"/>
    </row>
    <row r="4" spans="1:35" ht="15.75" customHeight="1">
      <c r="A4" s="19"/>
      <c r="B4" s="477" t="s">
        <v>47</v>
      </c>
      <c r="C4" s="477"/>
      <c r="D4" s="47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0" t="str">
        <f ca="1">OFFSET(L!$C$1,MATCH("General"&amp;"Cpy",L!$A:$A,0)-1,SL,,)</f>
        <v>© 2025 Responsible Minerals Initiative. All rights reserved.</v>
      </c>
      <c r="C1001" s="480"/>
      <c r="D1001" s="480"/>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b346dad-8a15-4ce7-a19a-07d981b0c5e2"/>
    <ds:schemaRef ds:uri="http://www.w3.org/XML/1998/namespace"/>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jenez</cp:lastModifiedBy>
  <cp:revision/>
  <dcterms:created xsi:type="dcterms:W3CDTF">2010-06-21T21:00:23Z</dcterms:created>
  <dcterms:modified xsi:type="dcterms:W3CDTF">2025-06-30T15:57:23Z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